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Расчет_СВОД_НВВ_ЭСО" sheetId="1" state="visible" r:id="rId3"/>
  </sheets>
  <externalReferences>
    <externalReference r:id="rId4"/>
  </externalReferenc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<sst xmlns="http://schemas.openxmlformats.org/spreadsheetml/2006/main" count="574" uniqueCount="363">
  <si>
    <t xml:space="preserve">Приложение №___</t>
  </si>
  <si>
    <t xml:space="preserve">к экспертному заключению</t>
  </si>
  <si>
    <t xml:space="preserve">Расчет необходимой валовой выручки для выработки и поставки электрической энергии ООО «Газпром добыча Ямбург» филиала «Ямбургское районное энергетическое управление» покупателям на Заполярном НГКМ на 2026 год</t>
  </si>
  <si>
    <t xml:space="preserve">№ п/п</t>
  </si>
  <si>
    <t xml:space="preserve">Показатели</t>
  </si>
  <si>
    <t xml:space="preserve">Единица измерения</t>
  </si>
  <si>
    <t xml:space="preserve">Утверждено Департаментом (базовый период)
На 2024 год</t>
  </si>
  <si>
    <t xml:space="preserve">Факт организации
за 2024 год</t>
  </si>
  <si>
    <t xml:space="preserve">Факт принятый Департаментом 
за 2024 год</t>
  </si>
  <si>
    <t xml:space="preserve">Утверждено (откорректировано) департаментом
на 2025 год</t>
  </si>
  <si>
    <t xml:space="preserve">План (корректировка) организации
на 2026 год</t>
  </si>
  <si>
    <t xml:space="preserve">Утверждено (откорректировано) Департаментом
на 2026 год</t>
  </si>
  <si>
    <t xml:space="preserve">Индекс роста 
2026 / 2025</t>
  </si>
  <si>
    <t xml:space="preserve">Комментарии и примечания</t>
  </si>
  <si>
    <t xml:space="preserve">Всего</t>
  </si>
  <si>
    <t xml:space="preserve">в том числе</t>
  </si>
  <si>
    <t xml:space="preserve">генерация</t>
  </si>
  <si>
    <t xml:space="preserve">передача</t>
  </si>
  <si>
    <t xml:space="preserve">сбыт</t>
  </si>
  <si>
    <t xml:space="preserve">I.</t>
  </si>
  <si>
    <t xml:space="preserve">Натуральные показатели</t>
  </si>
  <si>
    <t xml:space="preserve">1.1</t>
  </si>
  <si>
    <t xml:space="preserve">Вид топлива </t>
  </si>
  <si>
    <t xml:space="preserve">-</t>
  </si>
  <si>
    <t xml:space="preserve">Природный газ</t>
  </si>
  <si>
    <t xml:space="preserve">1.2</t>
  </si>
  <si>
    <t xml:space="preserve">протяженность сетей </t>
  </si>
  <si>
    <t xml:space="preserve">км</t>
  </si>
  <si>
    <t xml:space="preserve">1.3</t>
  </si>
  <si>
    <t xml:space="preserve">на зимний максимум нагрузки</t>
  </si>
  <si>
    <t xml:space="preserve">км/МВт</t>
  </si>
  <si>
    <t xml:space="preserve">1.4</t>
  </si>
  <si>
    <t xml:space="preserve">Установленная мощность</t>
  </si>
  <si>
    <t xml:space="preserve">МВт</t>
  </si>
  <si>
    <t xml:space="preserve">1.5</t>
  </si>
  <si>
    <t xml:space="preserve">Зимний максимум</t>
  </si>
  <si>
    <t xml:space="preserve">1.6</t>
  </si>
  <si>
    <t xml:space="preserve">Резерв</t>
  </si>
  <si>
    <t xml:space="preserve">%</t>
  </si>
  <si>
    <t xml:space="preserve">1.7</t>
  </si>
  <si>
    <t xml:space="preserve">Коэф.использования установлен.мощности</t>
  </si>
  <si>
    <t xml:space="preserve">1.8</t>
  </si>
  <si>
    <t xml:space="preserve">Выработано электрической энергии</t>
  </si>
  <si>
    <t xml:space="preserve">тыс.кВт.ч</t>
  </si>
  <si>
    <t xml:space="preserve">1.9</t>
  </si>
  <si>
    <t xml:space="preserve">Расход  на собст. нужды электростанции</t>
  </si>
  <si>
    <t xml:space="preserve">% собст.нужд</t>
  </si>
  <si>
    <t xml:space="preserve">1.10</t>
  </si>
  <si>
    <t xml:space="preserve">Отпуск электроэнергии в сеть</t>
  </si>
  <si>
    <t xml:space="preserve">1.11</t>
  </si>
  <si>
    <t xml:space="preserve">Покупная электрическая энергия</t>
  </si>
  <si>
    <t xml:space="preserve">1.12</t>
  </si>
  <si>
    <t xml:space="preserve">Потери электрической энергии в сети</t>
  </si>
  <si>
    <t xml:space="preserve">1.13</t>
  </si>
  <si>
    <t xml:space="preserve">Доля потерь от отпуска в сеть</t>
  </si>
  <si>
    <t xml:space="preserve">1.14</t>
  </si>
  <si>
    <t xml:space="preserve">на 1 км сетей</t>
  </si>
  <si>
    <t xml:space="preserve">тыс.кВт.ч/км</t>
  </si>
  <si>
    <t xml:space="preserve">1.15</t>
  </si>
  <si>
    <t xml:space="preserve">Полезный отпуск, в т.ч.:</t>
  </si>
  <si>
    <t xml:space="preserve">1.15.1</t>
  </si>
  <si>
    <t xml:space="preserve">внутрицеховые нужды</t>
  </si>
  <si>
    <t xml:space="preserve">1.15.2</t>
  </si>
  <si>
    <t xml:space="preserve">население</t>
  </si>
  <si>
    <t xml:space="preserve">1.15.3</t>
  </si>
  <si>
    <t xml:space="preserve">бюджетные организации</t>
  </si>
  <si>
    <t xml:space="preserve">1.15.4</t>
  </si>
  <si>
    <t xml:space="preserve">прочие потребители</t>
  </si>
  <si>
    <t xml:space="preserve">II.</t>
  </si>
  <si>
    <t xml:space="preserve">Расчёт коэффициента индексации</t>
  </si>
  <si>
    <t xml:space="preserve">2.1</t>
  </si>
  <si>
    <t xml:space="preserve">Индекс потребительских цен (ИПЦ)</t>
  </si>
  <si>
    <t xml:space="preserve">2.2</t>
  </si>
  <si>
    <t xml:space="preserve">Индекс эффективности операционных (подконтрольных) расходов</t>
  </si>
  <si>
    <t xml:space="preserve">2.3</t>
  </si>
  <si>
    <t xml:space="preserve">Количество активов</t>
  </si>
  <si>
    <t xml:space="preserve">у.е.</t>
  </si>
  <si>
    <t xml:space="preserve">ВН</t>
  </si>
  <si>
    <t xml:space="preserve">СН1</t>
  </si>
  <si>
    <t xml:space="preserve">СН2</t>
  </si>
  <si>
    <t xml:space="preserve">НН</t>
  </si>
  <si>
    <t xml:space="preserve">2.4</t>
  </si>
  <si>
    <t xml:space="preserve">Индекс изменения количества активов</t>
  </si>
  <si>
    <t xml:space="preserve">2.5</t>
  </si>
  <si>
    <t xml:space="preserve">Коэффициент эластичности затрат по росту активов</t>
  </si>
  <si>
    <t xml:space="preserve">ИТОГО коэффициент индексации</t>
  </si>
  <si>
    <t xml:space="preserve">III.</t>
  </si>
  <si>
    <t xml:space="preserve">Расходы на приобретение (потребление) энергетических ресурсов (в том числе топлива) и воды (РЭ)</t>
  </si>
  <si>
    <t xml:space="preserve">3.1</t>
  </si>
  <si>
    <t xml:space="preserve">Расходы на топливо</t>
  </si>
  <si>
    <t xml:space="preserve">тыс. руб.</t>
  </si>
  <si>
    <t xml:space="preserve">3.1.1</t>
  </si>
  <si>
    <t xml:space="preserve">Расходы на природный газ</t>
  </si>
  <si>
    <t xml:space="preserve">3.1.1.1</t>
  </si>
  <si>
    <t xml:space="preserve">Отпуск электроэнергии в сеть на природном газе</t>
  </si>
  <si>
    <t xml:space="preserve">3.1.1.2</t>
  </si>
  <si>
    <t xml:space="preserve">Количество природного газа </t>
  </si>
  <si>
    <r>
      <rPr>
        <sz val="12"/>
        <rFont val="Arial"/>
        <family val="2"/>
        <charset val="204"/>
      </rPr>
      <t xml:space="preserve">тыс. м</t>
    </r>
    <r>
      <rPr>
        <vertAlign val="superscript"/>
        <sz val="12"/>
        <rFont val="Arial"/>
        <family val="2"/>
        <charset val="204"/>
      </rPr>
      <t xml:space="preserve">3</t>
    </r>
  </si>
  <si>
    <t xml:space="preserve">3.1.1.3</t>
  </si>
  <si>
    <r>
      <rPr>
        <sz val="12"/>
        <rFont val="Arial"/>
        <family val="2"/>
        <charset val="204"/>
      </rPr>
      <t xml:space="preserve">Цена за 1000 м</t>
    </r>
    <r>
      <rPr>
        <vertAlign val="superscript"/>
        <sz val="12"/>
        <rFont val="Arial"/>
        <family val="2"/>
        <charset val="204"/>
      </rPr>
      <t xml:space="preserve">3</t>
    </r>
  </si>
  <si>
    <t xml:space="preserve">руб.</t>
  </si>
  <si>
    <t xml:space="preserve">3.1.1.4</t>
  </si>
  <si>
    <t xml:space="preserve">Удельный расход условного топлива на отпущенную электрическую энергию</t>
  </si>
  <si>
    <t xml:space="preserve">г.у.т./кВт.ч</t>
  </si>
  <si>
    <t xml:space="preserve">3.1.2</t>
  </si>
  <si>
    <t xml:space="preserve">Расходы на дизельное топливо</t>
  </si>
  <si>
    <t xml:space="preserve">3.1.2.1</t>
  </si>
  <si>
    <t xml:space="preserve">Отпуск электроэнергии в сеть на дизельном топливе</t>
  </si>
  <si>
    <t xml:space="preserve">3.1.2.2</t>
  </si>
  <si>
    <t xml:space="preserve">Количество дизельного топлива</t>
  </si>
  <si>
    <t xml:space="preserve">тонн</t>
  </si>
  <si>
    <t xml:space="preserve">3.1.2.3</t>
  </si>
  <si>
    <t xml:space="preserve">Цена за 1 т</t>
  </si>
  <si>
    <t xml:space="preserve">3.1.2.4</t>
  </si>
  <si>
    <t xml:space="preserve">3.1.3</t>
  </si>
  <si>
    <t xml:space="preserve">Расходы на масло</t>
  </si>
  <si>
    <t xml:space="preserve">3.1.3.1</t>
  </si>
  <si>
    <t xml:space="preserve">Количество масла</t>
  </si>
  <si>
    <t xml:space="preserve">3.1.3.2</t>
  </si>
  <si>
    <t xml:space="preserve">3.1.3.3</t>
  </si>
  <si>
    <t xml:space="preserve">Удельный расход на выработку электрической энергии</t>
  </si>
  <si>
    <t xml:space="preserve">г./кВт.ч</t>
  </si>
  <si>
    <t xml:space="preserve">3.1.4</t>
  </si>
  <si>
    <t xml:space="preserve">Расходы на нормативы создания запасов топлива</t>
  </si>
  <si>
    <t xml:space="preserve">3.1.4.1</t>
  </si>
  <si>
    <t xml:space="preserve">Количество</t>
  </si>
  <si>
    <t xml:space="preserve">3.1.4.2</t>
  </si>
  <si>
    <t xml:space="preserve">3.2</t>
  </si>
  <si>
    <t xml:space="preserve">Транспортировка топлива</t>
  </si>
  <si>
    <t xml:space="preserve">3.2.1</t>
  </si>
  <si>
    <t xml:space="preserve">Услуга ГРО</t>
  </si>
  <si>
    <r>
      <rPr>
        <sz val="12"/>
        <rFont val="Arial"/>
        <family val="2"/>
        <charset val="204"/>
      </rPr>
      <t xml:space="preserve">руб./тыс. м</t>
    </r>
    <r>
      <rPr>
        <vertAlign val="superscript"/>
        <sz val="12"/>
        <rFont val="Arial"/>
        <family val="2"/>
        <charset val="204"/>
      </rPr>
      <t xml:space="preserve">3</t>
    </r>
  </si>
  <si>
    <t xml:space="preserve">3.2.2</t>
  </si>
  <si>
    <t xml:space="preserve">ПССУ</t>
  </si>
  <si>
    <t xml:space="preserve">3.2.3</t>
  </si>
  <si>
    <t xml:space="preserve">Специальная надбавка</t>
  </si>
  <si>
    <t xml:space="preserve">3.2.4</t>
  </si>
  <si>
    <t xml:space="preserve">Цена за 1 т дизельного топлива</t>
  </si>
  <si>
    <t xml:space="preserve">3.2.5</t>
  </si>
  <si>
    <t xml:space="preserve">Цена за 1 т масла</t>
  </si>
  <si>
    <t xml:space="preserve">3.2.6</t>
  </si>
  <si>
    <t xml:space="preserve">Хранение</t>
  </si>
  <si>
    <t xml:space="preserve">3.3</t>
  </si>
  <si>
    <t xml:space="preserve">Расходы на электрическую энергию</t>
  </si>
  <si>
    <t xml:space="preserve">3.3.1</t>
  </si>
  <si>
    <t xml:space="preserve">Количество (энергия)</t>
  </si>
  <si>
    <t xml:space="preserve">тыс.кВт*ч</t>
  </si>
  <si>
    <t xml:space="preserve">3.3.2</t>
  </si>
  <si>
    <t xml:space="preserve">Цена за 1 кВт*ч</t>
  </si>
  <si>
    <t xml:space="preserve">3.4</t>
  </si>
  <si>
    <t xml:space="preserve">Расходы на тепловую энергию</t>
  </si>
  <si>
    <t xml:space="preserve">3.4.1</t>
  </si>
  <si>
    <t xml:space="preserve">Количество </t>
  </si>
  <si>
    <t xml:space="preserve">Гкал</t>
  </si>
  <si>
    <t xml:space="preserve">3.4.2</t>
  </si>
  <si>
    <t xml:space="preserve">Цена за 1 Гкал</t>
  </si>
  <si>
    <t xml:space="preserve">3.5</t>
  </si>
  <si>
    <t xml:space="preserve">Расходы на холодную воду</t>
  </si>
  <si>
    <t xml:space="preserve">3.5.1</t>
  </si>
  <si>
    <t xml:space="preserve">Количество (питьевая вода)</t>
  </si>
  <si>
    <r>
      <rPr>
        <sz val="12"/>
        <rFont val="Arial"/>
        <family val="2"/>
        <charset val="204"/>
      </rPr>
      <t xml:space="preserve">м</t>
    </r>
    <r>
      <rPr>
        <vertAlign val="superscript"/>
        <sz val="12"/>
        <rFont val="Arial"/>
        <family val="2"/>
        <charset val="204"/>
      </rPr>
      <t xml:space="preserve">3</t>
    </r>
  </si>
  <si>
    <t xml:space="preserve">3.5.2</t>
  </si>
  <si>
    <r>
      <rPr>
        <sz val="12"/>
        <rFont val="Arial"/>
        <family val="2"/>
        <charset val="204"/>
      </rPr>
      <t xml:space="preserve">Цена за 1 тыс. м</t>
    </r>
    <r>
      <rPr>
        <vertAlign val="superscript"/>
        <sz val="12"/>
        <rFont val="Arial"/>
        <family val="2"/>
        <charset val="204"/>
      </rPr>
      <t xml:space="preserve">3</t>
    </r>
  </si>
  <si>
    <t xml:space="preserve">3.5.3</t>
  </si>
  <si>
    <t xml:space="preserve">Количество (техническая вода)</t>
  </si>
  <si>
    <t xml:space="preserve">3.5.4</t>
  </si>
  <si>
    <r>
      <rPr>
        <sz val="12"/>
        <rFont val="Arial"/>
        <family val="2"/>
        <charset val="204"/>
      </rPr>
      <t xml:space="preserve">Цена за 1 м</t>
    </r>
    <r>
      <rPr>
        <vertAlign val="superscript"/>
        <sz val="12"/>
        <rFont val="Arial"/>
        <family val="2"/>
        <charset val="204"/>
      </rPr>
      <t xml:space="preserve">3</t>
    </r>
  </si>
  <si>
    <t xml:space="preserve">3.6</t>
  </si>
  <si>
    <t xml:space="preserve">Расходы на водоотведение</t>
  </si>
  <si>
    <t xml:space="preserve">3.6.1</t>
  </si>
  <si>
    <t xml:space="preserve">Количество  </t>
  </si>
  <si>
    <t xml:space="preserve">3.6.2</t>
  </si>
  <si>
    <r>
      <rPr>
        <sz val="12"/>
        <color theme="1"/>
        <rFont val="Arial"/>
        <family val="2"/>
        <charset val="204"/>
      </rPr>
      <t xml:space="preserve">Цена за 1 м</t>
    </r>
    <r>
      <rPr>
        <vertAlign val="superscript"/>
        <sz val="12"/>
        <color rgb="FF000000"/>
        <rFont val="Arial"/>
        <family val="2"/>
        <charset val="204"/>
      </rPr>
      <t xml:space="preserve">3</t>
    </r>
  </si>
  <si>
    <t xml:space="preserve">3.7</t>
  </si>
  <si>
    <t xml:space="preserve">Расходы на прочие коммунальные услуги</t>
  </si>
  <si>
    <t xml:space="preserve">3.8</t>
  </si>
  <si>
    <t xml:space="preserve">ИТОГО расходы на приобретение энергетических ресурсов (в том числе топлива) и воды (РЭ)</t>
  </si>
  <si>
    <t xml:space="preserve">3.9</t>
  </si>
  <si>
    <r>
      <rPr>
        <sz val="12"/>
        <color theme="1"/>
        <rFont val="Arial"/>
        <family val="2"/>
        <charset val="204"/>
      </rPr>
      <t xml:space="preserve">Экономия расходов на топливо (ЭРТ</t>
    </r>
    <r>
      <rPr>
        <sz val="10.2"/>
        <color theme="1"/>
        <rFont val="Arial"/>
        <family val="2"/>
        <charset val="204"/>
      </rPr>
      <t xml:space="preserve">)</t>
    </r>
  </si>
  <si>
    <t xml:space="preserve">IV.</t>
  </si>
  <si>
    <t xml:space="preserve">Расчёт операционных (подконтрольных) расходов </t>
  </si>
  <si>
    <t xml:space="preserve">4.1</t>
  </si>
  <si>
    <t xml:space="preserve">Вспомогательные материалы</t>
  </si>
  <si>
    <t xml:space="preserve">4.2</t>
  </si>
  <si>
    <t xml:space="preserve">Работы и услуги производственного характера</t>
  </si>
  <si>
    <t xml:space="preserve">4.2.1</t>
  </si>
  <si>
    <t xml:space="preserve">Текущий ремонт</t>
  </si>
  <si>
    <t xml:space="preserve">4.2.2</t>
  </si>
  <si>
    <t xml:space="preserve">Капитальный ремонт</t>
  </si>
  <si>
    <t xml:space="preserve">4.2.3</t>
  </si>
  <si>
    <t xml:space="preserve">Услуги сторонних организаций по содержанию и техническому обслуживанию основного производственного оборудования</t>
  </si>
  <si>
    <t xml:space="preserve">4.3</t>
  </si>
  <si>
    <t xml:space="preserve">Расходы на оплату труда (без отчислений на страховые взносы)</t>
  </si>
  <si>
    <t xml:space="preserve">4.3.1</t>
  </si>
  <si>
    <t xml:space="preserve">Основные рабочие</t>
  </si>
  <si>
    <t xml:space="preserve">4.3.1.1</t>
  </si>
  <si>
    <t xml:space="preserve">Численность</t>
  </si>
  <si>
    <t xml:space="preserve">чел.</t>
  </si>
  <si>
    <t xml:space="preserve">4.3.1.2</t>
  </si>
  <si>
    <t xml:space="preserve">Размер средней заработной платы</t>
  </si>
  <si>
    <t xml:space="preserve">руб./мес./чел.</t>
  </si>
  <si>
    <t xml:space="preserve">4.3.2</t>
  </si>
  <si>
    <t xml:space="preserve">ИТР</t>
  </si>
  <si>
    <t xml:space="preserve">4.3.2.1</t>
  </si>
  <si>
    <t xml:space="preserve">4.3.2.2</t>
  </si>
  <si>
    <t xml:space="preserve">4.3.3</t>
  </si>
  <si>
    <t xml:space="preserve">АУП </t>
  </si>
  <si>
    <t xml:space="preserve">4.3.3.1</t>
  </si>
  <si>
    <t xml:space="preserve">4.3.3.2</t>
  </si>
  <si>
    <t xml:space="preserve">4.3.4</t>
  </si>
  <si>
    <t xml:space="preserve">Общехозяйственный (вспомогательный) персонал</t>
  </si>
  <si>
    <t xml:space="preserve">4.3.4.1</t>
  </si>
  <si>
    <t xml:space="preserve">4.3.4.2</t>
  </si>
  <si>
    <t xml:space="preserve">4.4</t>
  </si>
  <si>
    <t xml:space="preserve">Прочие расходы, всего в т.ч.:</t>
  </si>
  <si>
    <t xml:space="preserve">4.4.1</t>
  </si>
  <si>
    <t xml:space="preserve">Транспортные расходы</t>
  </si>
  <si>
    <t xml:space="preserve">4.4.2</t>
  </si>
  <si>
    <t xml:space="preserve">Услуги связи</t>
  </si>
  <si>
    <t xml:space="preserve">4.4.3</t>
  </si>
  <si>
    <t xml:space="preserve">Расходы на оплату вневедомственной охраны</t>
  </si>
  <si>
    <t xml:space="preserve">4.4.4</t>
  </si>
  <si>
    <t xml:space="preserve">Расходы на аудиторские услуги</t>
  </si>
  <si>
    <t xml:space="preserve">4.4.5</t>
  </si>
  <si>
    <t xml:space="preserve">Расходы на обучение персонала</t>
  </si>
  <si>
    <t xml:space="preserve">4.4.6</t>
  </si>
  <si>
    <t xml:space="preserve">Расходы на охрану труда (спецпитание, спецодежда, средства защиты и т.д)</t>
  </si>
  <si>
    <t xml:space="preserve">4.4.7</t>
  </si>
  <si>
    <t xml:space="preserve">Расходы на льготный проезд</t>
  </si>
  <si>
    <t xml:space="preserve">4.4.8</t>
  </si>
  <si>
    <t xml:space="preserve">Другие прочие операционные расходы</t>
  </si>
  <si>
    <t xml:space="preserve">4.5</t>
  </si>
  <si>
    <t xml:space="preserve">Расходы из прибыли</t>
  </si>
  <si>
    <t xml:space="preserve">4.5.1</t>
  </si>
  <si>
    <t xml:space="preserve">Расходы на услуги банков</t>
  </si>
  <si>
    <t xml:space="preserve">4.5.2</t>
  </si>
  <si>
    <t xml:space="preserve">Выплаты социального характера</t>
  </si>
  <si>
    <t xml:space="preserve">4.5.3</t>
  </si>
  <si>
    <t xml:space="preserve">Прочие расходы</t>
  </si>
  <si>
    <t xml:space="preserve">4.6</t>
  </si>
  <si>
    <t xml:space="preserve">Расходы на выполнение обязанностей по обеспечению коммерческого учета электрической энергии (п. 5 ст. 37 № 35-ФЗ "Об электроэнергетике")</t>
  </si>
  <si>
    <t xml:space="preserve">4.7</t>
  </si>
  <si>
    <t xml:space="preserve">ИТОГО операционных (подконтрольных) расходов</t>
  </si>
  <si>
    <t xml:space="preserve">V.</t>
  </si>
  <si>
    <t xml:space="preserve">Расчёт неподконтрольных расходов (НР)</t>
  </si>
  <si>
    <t xml:space="preserve">5.1</t>
  </si>
  <si>
    <t xml:space="preserve">Оплата услуг, оказываемых организациями, осуществляющими регулируемые виды деятельности</t>
  </si>
  <si>
    <t xml:space="preserve">5.2</t>
  </si>
  <si>
    <t xml:space="preserve">Расходы на уплату налогов, сборов и других обязательных платежей, в т.ч.:</t>
  </si>
  <si>
    <t xml:space="preserve">5.2.1</t>
  </si>
  <si>
    <t xml:space="preserve">Плата за выбросы и сбросы загрязняющих веществ в окружающую среду, размещение отходов и другие виды негативного воздействия на окружающую среду в пределах установленных нормативов и (или) лимитов</t>
  </si>
  <si>
    <t xml:space="preserve">5.2.2</t>
  </si>
  <si>
    <t xml:space="preserve">Расходы на обязательное страхование</t>
  </si>
  <si>
    <t xml:space="preserve">5.2.3</t>
  </si>
  <si>
    <t xml:space="preserve">Налог на имущество, в т.ч.:</t>
  </si>
  <si>
    <t xml:space="preserve">5.2.3.1</t>
  </si>
  <si>
    <t xml:space="preserve">Собственное имущество</t>
  </si>
  <si>
    <t xml:space="preserve">5.2.3.2</t>
  </si>
  <si>
    <t xml:space="preserve">Имущество, переданное по концессионному соглашению</t>
  </si>
  <si>
    <t xml:space="preserve">5.2.4</t>
  </si>
  <si>
    <t xml:space="preserve">Земельный налог</t>
  </si>
  <si>
    <t xml:space="preserve">5.2.5</t>
  </si>
  <si>
    <t xml:space="preserve">Прочие налоги и сборы</t>
  </si>
  <si>
    <t xml:space="preserve">5.3</t>
  </si>
  <si>
    <t xml:space="preserve">Плата за владение и (или) пользование имуществом, в т.ч.:</t>
  </si>
  <si>
    <t xml:space="preserve">5.3.1</t>
  </si>
  <si>
    <t xml:space="preserve">Арендная плата</t>
  </si>
  <si>
    <t xml:space="preserve">5.3.2</t>
  </si>
  <si>
    <t xml:space="preserve">Концессионная плата</t>
  </si>
  <si>
    <t xml:space="preserve">5.4</t>
  </si>
  <si>
    <t xml:space="preserve">Амортизация основных средств и нематериальных активов, в т.ч.:</t>
  </si>
  <si>
    <t xml:space="preserve">5.4.1</t>
  </si>
  <si>
    <t xml:space="preserve">5.4.2</t>
  </si>
  <si>
    <t xml:space="preserve">5.5</t>
  </si>
  <si>
    <t xml:space="preserve">Отчисления на страховые взносы</t>
  </si>
  <si>
    <t xml:space="preserve">5.5.1</t>
  </si>
  <si>
    <t xml:space="preserve">Отчисления на страховые взносы основных рабочих</t>
  </si>
  <si>
    <t xml:space="preserve">5.5.2</t>
  </si>
  <si>
    <t xml:space="preserve">5.5.3</t>
  </si>
  <si>
    <t xml:space="preserve">Отчисления на страховые взносы ИТР</t>
  </si>
  <si>
    <t xml:space="preserve">5.5.4</t>
  </si>
  <si>
    <t xml:space="preserve">5.5.5</t>
  </si>
  <si>
    <t xml:space="preserve">Отчисления на страховые взносы АУП</t>
  </si>
  <si>
    <t xml:space="preserve">5.5.6</t>
  </si>
  <si>
    <t xml:space="preserve">5.5.7</t>
  </si>
  <si>
    <t xml:space="preserve">Отчисления на страховые взносы на общехозяйственный (вспомогательный) персонал</t>
  </si>
  <si>
    <t xml:space="preserve">5.5.8</t>
  </si>
  <si>
    <t xml:space="preserve">5.6</t>
  </si>
  <si>
    <t xml:space="preserve">Расходы по сомнительным долгам</t>
  </si>
  <si>
    <t xml:space="preserve">5.7</t>
  </si>
  <si>
    <t xml:space="preserve">Капитальные вложения</t>
  </si>
  <si>
    <t xml:space="preserve">5.8</t>
  </si>
  <si>
    <t xml:space="preserve">5.9</t>
  </si>
  <si>
    <t xml:space="preserve">Расходы на выплаты по договорам займа и кредитным договорам, включая проценты по ним</t>
  </si>
  <si>
    <t xml:space="preserve">5.9.1</t>
  </si>
  <si>
    <t xml:space="preserve">% за пользование кредитом</t>
  </si>
  <si>
    <t xml:space="preserve">5.9.2</t>
  </si>
  <si>
    <t xml:space="preserve">Расходы на погашение и облуживание заемных средств на реализацию мероприятий инвестиционной программы</t>
  </si>
  <si>
    <t xml:space="preserve">5.10</t>
  </si>
  <si>
    <t xml:space="preserve">Расходы, связанные с компенсацией выпадающих доходов, предусмотренных пунктом 87 Основ ценообразования</t>
  </si>
  <si>
    <t xml:space="preserve">5.11</t>
  </si>
  <si>
    <t xml:space="preserve">Налог на прибыль</t>
  </si>
  <si>
    <t xml:space="preserve">5.12</t>
  </si>
  <si>
    <t xml:space="preserve">ИТОГО неподконтрольных расходов</t>
  </si>
  <si>
    <t xml:space="preserve">VI.</t>
  </si>
  <si>
    <t xml:space="preserve">Расчетная предпринимательская прибыль сетевой организации</t>
  </si>
  <si>
    <t xml:space="preserve">VII.</t>
  </si>
  <si>
    <t xml:space="preserve">Недополученные ("+") или излишне полученные ("-") доходы в году, предшествовашему переходу к регулированию цен (тарифов) с применением метода долгосрочной индексации НВВ</t>
  </si>
  <si>
    <t xml:space="preserve">В части регулируемого вида деятельности "Производство электрической энергии"</t>
  </si>
  <si>
    <t xml:space="preserve">7.1</t>
  </si>
  <si>
    <t xml:space="preserve">Отклонение выручки, полученной в результате осуществления регулируемой деятельности, в связи с отклонением объема реализуемых товаров (услуг) от объема, учтенного при установлении тарифов  (ΔВыр)</t>
  </si>
  <si>
    <t xml:space="preserve">7.2</t>
  </si>
  <si>
    <r>
      <rPr>
        <sz val="12"/>
        <color theme="1"/>
        <rFont val="Arial"/>
        <family val="2"/>
        <charset val="204"/>
      </rPr>
      <t xml:space="preserve">Корректировка расходов на приобретение энергетических ресурсов (в том числе топлива) и воды (D</t>
    </r>
    <r>
      <rPr>
        <sz val="10.2"/>
        <color theme="1"/>
        <rFont val="Arial"/>
        <family val="2"/>
        <charset val="204"/>
      </rPr>
      <t xml:space="preserve">РЭ)</t>
    </r>
  </si>
  <si>
    <t xml:space="preserve">7.3</t>
  </si>
  <si>
    <r>
      <rPr>
        <sz val="12"/>
        <color theme="1"/>
        <rFont val="Arial"/>
        <family val="2"/>
        <charset val="204"/>
      </rPr>
      <t xml:space="preserve">Корректировка операционных расходов (D</t>
    </r>
    <r>
      <rPr>
        <sz val="10.2"/>
        <color theme="1"/>
        <rFont val="Arial"/>
        <family val="2"/>
        <charset val="204"/>
      </rPr>
      <t xml:space="preserve">ОР)</t>
    </r>
  </si>
  <si>
    <t xml:space="preserve">7.4</t>
  </si>
  <si>
    <t xml:space="preserve">Корректировка неподконтрольных расходов (DНР)</t>
  </si>
  <si>
    <t xml:space="preserve">7.5</t>
  </si>
  <si>
    <r>
      <rPr>
        <sz val="12"/>
        <color theme="1"/>
        <rFont val="Arial"/>
        <family val="2"/>
        <charset val="204"/>
      </rPr>
      <t xml:space="preserve">Экономически обоснованные расходы, понесенные в году, предшествовашему переходу к регулированию цен (тарифов) с применением метода долгосрочной индексации НВВ и не возмещенные регулируемой организации (Рез</t>
    </r>
    <r>
      <rPr>
        <vertAlign val="superscript"/>
        <sz val="12"/>
        <color theme="1"/>
        <rFont val="Arial"/>
        <family val="2"/>
        <charset val="204"/>
      </rPr>
      <t xml:space="preserve">+</t>
    </r>
    <r>
      <rPr>
        <sz val="12"/>
        <color theme="1"/>
        <rFont val="Arial"/>
        <family val="2"/>
        <charset val="204"/>
      </rPr>
      <t xml:space="preserve">)</t>
    </r>
  </si>
  <si>
    <t xml:space="preserve">7.6</t>
  </si>
  <si>
    <r>
      <rPr>
        <sz val="12"/>
        <color theme="1"/>
        <rFont val="Arial"/>
        <family val="2"/>
        <charset val="204"/>
      </rPr>
      <t xml:space="preserve">Доходы, необоснованно (излишне) полученные в году, предшествовашему переходу к регулированию цен (тарифов) с применением метода долгосрочной индексации НВВ,подлежащие исключению из НВВ (Рез</t>
    </r>
    <r>
      <rPr>
        <vertAlign val="superscript"/>
        <sz val="12"/>
        <color theme="1"/>
        <rFont val="Arial"/>
        <family val="2"/>
        <charset val="204"/>
      </rPr>
      <t xml:space="preserve">-</t>
    </r>
    <r>
      <rPr>
        <sz val="12"/>
        <color theme="1"/>
        <rFont val="Arial"/>
        <family val="2"/>
        <charset val="204"/>
      </rPr>
      <t xml:space="preserve">)</t>
    </r>
  </si>
  <si>
    <t xml:space="preserve">В части регулируемого вида деятельности "Передача электрической энергии"</t>
  </si>
  <si>
    <t xml:space="preserve">7.7</t>
  </si>
  <si>
    <r>
      <rPr>
        <sz val="12"/>
        <color rgb="FF000000"/>
        <rFont val="Arial"/>
        <family val="2"/>
        <charset val="204"/>
      </rPr>
      <t xml:space="preserve">Результаты деятельности организации (выпадающие или дополнительно полученные доходы), (В</t>
    </r>
    <r>
      <rPr>
        <sz val="12"/>
        <rFont val="Arial"/>
        <family val="2"/>
        <charset val="204"/>
      </rPr>
      <t xml:space="preserve">₁ / В¡распред)</t>
    </r>
  </si>
  <si>
    <t xml:space="preserve">тыс.руб.</t>
  </si>
  <si>
    <t xml:space="preserve">7.8</t>
  </si>
  <si>
    <r>
      <rPr>
        <sz val="12"/>
        <color rgb="FF000000"/>
        <rFont val="Arial"/>
        <family val="2"/>
        <charset val="204"/>
      </rPr>
      <t xml:space="preserve">Корректировка подконтрольных расходов (</t>
    </r>
    <r>
      <rPr>
        <sz val="12"/>
        <color theme="1"/>
        <rFont val="Arial"/>
        <family val="2"/>
        <charset val="204"/>
      </rPr>
      <t xml:space="preserve">ΔПР)</t>
    </r>
  </si>
  <si>
    <t xml:space="preserve">7.9</t>
  </si>
  <si>
    <r>
      <rPr>
        <sz val="12"/>
        <color rgb="FF000000"/>
        <rFont val="Arial"/>
        <family val="2"/>
        <charset val="204"/>
      </rPr>
      <t xml:space="preserve">Корректировка неподконтрольных расходов (</t>
    </r>
    <r>
      <rPr>
        <sz val="12"/>
        <color theme="1"/>
        <rFont val="Arial"/>
        <family val="2"/>
        <charset val="204"/>
      </rPr>
      <t xml:space="preserve">ΔНР)</t>
    </r>
  </si>
  <si>
    <t xml:space="preserve">7.10</t>
  </si>
  <si>
    <t xml:space="preserve">Корректировка необходимой валовой выручки по доходам от осуществления регулируемой деятельности, (ΔНВВсод)</t>
  </si>
  <si>
    <t xml:space="preserve">7.11</t>
  </si>
  <si>
    <t xml:space="preserve">Корректировка в связи с изменением полезного отпуска э/энергии, покупки потерь и цен, (ПО)</t>
  </si>
  <si>
    <t xml:space="preserve">7.12</t>
  </si>
  <si>
    <r>
      <rPr>
        <sz val="12"/>
        <color rgb="FF000000"/>
        <rFont val="Arial"/>
        <family val="2"/>
        <charset val="204"/>
      </rPr>
      <t xml:space="preserve">Величина экономии, расчитанная согласно п.34(2)-34(3) ПП РФ №1178, (</t>
    </r>
    <r>
      <rPr>
        <sz val="12"/>
        <rFont val="Arial"/>
        <family val="2"/>
        <charset val="204"/>
      </rPr>
      <t xml:space="preserve">ΔЭП)</t>
    </r>
  </si>
  <si>
    <t xml:space="preserve">7.13</t>
  </si>
  <si>
    <t xml:space="preserve">Корректировка НВВ с учетом надежности и качества оказываемых услуг</t>
  </si>
  <si>
    <t xml:space="preserve">7.13.1</t>
  </si>
  <si>
    <t xml:space="preserve">Коэффициент корректировки НВВ (КНКi)</t>
  </si>
  <si>
    <t xml:space="preserve">В части регулируемого вида деятельности "Сбыт электрической энергии"</t>
  </si>
  <si>
    <t xml:space="preserve">Экономически обоснованные расходы, не учтенные при установлении сбытовых надбавок гарантирующего поставщика</t>
  </si>
  <si>
    <t xml:space="preserve">Экономически необоснованные расходы гарантирующего поставщика</t>
  </si>
  <si>
    <t xml:space="preserve">7.14</t>
  </si>
  <si>
    <t xml:space="preserve">Излишне полученные (+) или недополученные (-) доходы при осуществлении регулируемой деятельности</t>
  </si>
  <si>
    <t xml:space="preserve">7.15</t>
  </si>
  <si>
    <t xml:space="preserve">ИТОГО недополученные ("+") или излишне полученные ("-") доходы</t>
  </si>
  <si>
    <t xml:space="preserve">8.</t>
  </si>
  <si>
    <t xml:space="preserve">Необходимая валовая выручка </t>
  </si>
  <si>
    <t xml:space="preserve">9.</t>
  </si>
  <si>
    <t xml:space="preserve">Тариф на электрическую энергию</t>
  </si>
  <si>
    <t xml:space="preserve">1 полугодие</t>
  </si>
  <si>
    <t xml:space="preserve">руб./кВт.*ч.</t>
  </si>
  <si>
    <t xml:space="preserve">Ставка по содержанию эл. сетей</t>
  </si>
  <si>
    <t xml:space="preserve">Ставка на оплату потерь в  эл сетях</t>
  </si>
  <si>
    <t xml:space="preserve">2 полугодие</t>
  </si>
  <si>
    <t xml:space="preserve">План (корректировка) организации на 2025 год</t>
  </si>
  <si>
    <t xml:space="preserve">Период регулирования 2026 год</t>
  </si>
  <si>
    <t xml:space="preserve">Проверка</t>
  </si>
  <si>
    <t xml:space="preserve">год</t>
  </si>
  <si>
    <t xml:space="preserve">Полезный отпуск</t>
  </si>
  <si>
    <t xml:space="preserve">Утверждено (откорректировано) Департаментом на 2025 год</t>
  </si>
  <si>
    <t xml:space="preserve">Представитель организации</t>
  </si>
  <si>
    <t xml:space="preserve">ФИО, подпись</t>
  </si>
</sst>
</file>

<file path=xl/styles.xml><?xml version="1.0" encoding="utf-8"?>
<styleSheet xmlns="http://schemas.openxmlformats.org/spreadsheetml/2006/main">
  <numFmts count="13">
    <numFmt numFmtId="164" formatCode="General"/>
    <numFmt numFmtId="165" formatCode="@"/>
    <numFmt numFmtId="166" formatCode="0.00"/>
    <numFmt numFmtId="167" formatCode="0.000"/>
    <numFmt numFmtId="168" formatCode="_-* #,##0.00\ _₽_-;\-* #,##0.00\ _₽_-;_-* \-??\ _₽_-;_-@_-"/>
    <numFmt numFmtId="169" formatCode="0.00%"/>
    <numFmt numFmtId="170" formatCode="#,##0.00"/>
    <numFmt numFmtId="171" formatCode="#,##0.000"/>
    <numFmt numFmtId="172" formatCode="#,##0.0"/>
    <numFmt numFmtId="173" formatCode="#,##0"/>
    <numFmt numFmtId="174" formatCode="0.0"/>
    <numFmt numFmtId="175" formatCode="0%"/>
    <numFmt numFmtId="176" formatCode="#,##0.00000"/>
  </numFmts>
  <fonts count="19">
    <font>
      <sz val="10"/>
      <name val="Open Sans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  <charset val="1"/>
    </font>
    <font>
      <sz val="12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b val="true"/>
      <sz val="12"/>
      <color theme="1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 val="true"/>
      <sz val="12"/>
      <name val="Arial"/>
      <family val="2"/>
      <charset val="204"/>
    </font>
    <font>
      <vertAlign val="superscript"/>
      <sz val="12"/>
      <name val="Arial"/>
      <family val="2"/>
      <charset val="204"/>
    </font>
    <font>
      <vertAlign val="superscript"/>
      <sz val="12"/>
      <color rgb="FF000000"/>
      <name val="Arial"/>
      <family val="2"/>
      <charset val="204"/>
    </font>
    <font>
      <sz val="10.2"/>
      <color theme="1"/>
      <name val="Arial"/>
      <family val="2"/>
      <charset val="204"/>
    </font>
    <font>
      <vertAlign val="superscript"/>
      <sz val="12"/>
      <color theme="1"/>
      <name val="Arial"/>
      <family val="2"/>
      <charset val="204"/>
    </font>
    <font>
      <sz val="12"/>
      <color rgb="FF000000"/>
      <name val="Arial"/>
      <family val="2"/>
      <charset val="204"/>
    </font>
    <font>
      <b val="true"/>
      <sz val="13"/>
      <color theme="1"/>
      <name val="Arial"/>
      <family val="2"/>
      <charset val="204"/>
    </font>
    <font>
      <sz val="13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 tint="-0.15"/>
        <bgColor rgb="FFC0C0C0"/>
      </patternFill>
    </fill>
    <fill>
      <patternFill patternType="solid">
        <fgColor theme="0"/>
        <bgColor rgb="FFFFFFCC"/>
      </patternFill>
    </fill>
    <fill>
      <patternFill patternType="solid">
        <fgColor rgb="FFCCFFCC"/>
        <bgColor rgb="FFCCFFFF"/>
      </patternFill>
    </fill>
    <fill>
      <patternFill patternType="solid">
        <fgColor theme="9" tint="0.5999"/>
        <bgColor rgb="FFFF8080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FFFFCC"/>
      </patternFill>
    </fill>
  </fills>
  <borders count="77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/>
      <right/>
      <top style="medium"/>
      <bottom style="thin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/>
      <top style="thin"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/>
      <right style="medium"/>
      <top style="thin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/>
      <bottom style="thin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/>
      <right/>
      <top/>
      <bottom style="thin"/>
      <diagonal/>
    </border>
    <border diagonalUp="false" diagonalDown="false">
      <left style="medium"/>
      <right/>
      <top/>
      <bottom style="thin"/>
      <diagonal/>
    </border>
    <border diagonalUp="false" diagonalDown="false">
      <left/>
      <right/>
      <top style="thin"/>
      <bottom style="medium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 style="medium"/>
      <right style="medium"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medium"/>
      <right style="thin"/>
      <top/>
      <bottom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/>
      <top style="medium"/>
      <bottom/>
      <diagonal/>
    </border>
    <border diagonalUp="false" diagonalDown="false">
      <left/>
      <right style="thin"/>
      <top style="medium"/>
      <bottom/>
      <diagonal/>
    </border>
    <border diagonalUp="false" diagonalDown="false">
      <left/>
      <right style="thin"/>
      <top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8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50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2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2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xfId="2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2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0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7" fillId="0" borderId="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7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7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2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8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2" borderId="8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9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0" borderId="10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11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8" fillId="3" borderId="12" xfId="2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8" fillId="3" borderId="10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4" borderId="1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3" borderId="14" xfId="2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8" fillId="3" borderId="1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4" borderId="1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5" fillId="0" borderId="16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6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5" fillId="0" borderId="17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18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8" fillId="3" borderId="19" xfId="2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8" fillId="0" borderId="17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20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4" borderId="21" xfId="2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8" fillId="0" borderId="2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5" fillId="0" borderId="2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23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8" fillId="3" borderId="24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8" fillId="3" borderId="25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8" fillId="3" borderId="21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8" fillId="3" borderId="2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18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3" borderId="19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8" fillId="3" borderId="17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9" fillId="4" borderId="2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3" borderId="26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8" fillId="3" borderId="2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8" fillId="4" borderId="2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7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8" fillId="3" borderId="26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5" fillId="0" borderId="27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8" fillId="3" borderId="1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8" fillId="3" borderId="2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2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28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3" borderId="29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9" fontId="8" fillId="3" borderId="3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3" borderId="31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8" fillId="3" borderId="3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33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34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3" borderId="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0" fillId="3" borderId="1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0" fontId="10" fillId="3" borderId="5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0" fillId="3" borderId="6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0" fillId="3" borderId="7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1" fontId="10" fillId="3" borderId="1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7" fillId="0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2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3" borderId="11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3" borderId="1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9" fillId="4" borderId="16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0" fontId="8" fillId="3" borderId="13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8" fillId="3" borderId="14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8" fillId="3" borderId="15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0" fontId="8" fillId="4" borderId="10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5" fillId="0" borderId="3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18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8" fillId="3" borderId="19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8" fillId="3" borderId="17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9" fontId="8" fillId="3" borderId="20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8" fillId="3" borderId="21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8" fillId="3" borderId="22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7" fillId="0" borderId="17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3" borderId="18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3" borderId="19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0" fillId="3" borderId="17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0" fontId="10" fillId="3" borderId="20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0" fontId="10" fillId="3" borderId="21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0" fillId="3" borderId="22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7" fillId="0" borderId="23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0" xfId="2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0" fontId="8" fillId="4" borderId="17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8" fillId="3" borderId="20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0" fontId="8" fillId="3" borderId="21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5" fillId="0" borderId="27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8" fillId="4" borderId="27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8" fillId="0" borderId="36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0" fontId="8" fillId="0" borderId="37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8" fillId="0" borderId="38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5" fillId="0" borderId="35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8" fillId="3" borderId="21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8" fillId="3" borderId="29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8" fillId="3" borderId="24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8" fillId="3" borderId="25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0" fontId="8" fillId="3" borderId="39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8" fillId="3" borderId="32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5" fillId="5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5" borderId="8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5" borderId="40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0" fillId="5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5" borderId="4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0" fillId="5" borderId="4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0" fillId="5" borderId="4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5" fillId="5" borderId="9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5" borderId="9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3" borderId="44" xfId="20" applyFont="true" applyBorder="true" applyAlignment="true" applyProtection="true">
      <alignment horizontal="left" vertical="center" textRotation="0" wrapText="false" indent="2" shrinkToFit="false"/>
      <protection locked="true" hidden="false"/>
    </xf>
    <xf numFmtId="164" fontId="8" fillId="3" borderId="45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9" fillId="4" borderId="35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3" borderId="36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3" borderId="3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8" fillId="3" borderId="38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8" fillId="4" borderId="2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3" borderId="18" xfId="20" applyFont="true" applyBorder="true" applyAlignment="true" applyProtection="true">
      <alignment horizontal="left" vertical="center" textRotation="0" wrapText="false" indent="2" shrinkToFit="false"/>
      <protection locked="true" hidden="false"/>
    </xf>
    <xf numFmtId="164" fontId="8" fillId="3" borderId="2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3" borderId="2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8" fillId="3" borderId="2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3" borderId="46" xfId="20" applyFont="true" applyBorder="true" applyAlignment="true" applyProtection="true">
      <alignment horizontal="left" vertical="center" textRotation="0" wrapText="false" indent="2" shrinkToFit="false"/>
      <protection locked="true" hidden="false"/>
    </xf>
    <xf numFmtId="164" fontId="8" fillId="3" borderId="4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3" borderId="3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3" borderId="48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8" fillId="3" borderId="49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50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2" borderId="4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2" borderId="8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2" borderId="4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2" borderId="41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2" borderId="42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2" borderId="4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7" fillId="2" borderId="8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2" borderId="9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11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1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5" fillId="0" borderId="1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5" fillId="0" borderId="1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5" fillId="0" borderId="14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5" fillId="0" borderId="15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5" fillId="4" borderId="1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5" fillId="0" borderId="5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5" fillId="0" borderId="1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5" fillId="4" borderId="5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5" fillId="4" borderId="14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5" fillId="4" borderId="15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5" fillId="0" borderId="2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18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1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5" fillId="0" borderId="19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5" fillId="0" borderId="2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5" fillId="0" borderId="2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5" fillId="0" borderId="2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5" fillId="0" borderId="1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5" fillId="4" borderId="26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5" fillId="4" borderId="2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5" fillId="0" borderId="26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2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5" fillId="0" borderId="2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17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5" fillId="0" borderId="18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5" fillId="0" borderId="2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26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8" fillId="0" borderId="2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9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5" fillId="4" borderId="2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9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44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5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5" fillId="0" borderId="5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5" fillId="0" borderId="5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5" fillId="3" borderId="54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5" fillId="0" borderId="55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5" fillId="0" borderId="5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5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5" fillId="0" borderId="54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55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5" fillId="0" borderId="56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56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5" fillId="5" borderId="4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5" borderId="8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5" borderId="4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5" borderId="8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5" borderId="4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5" borderId="4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5" borderId="4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5" fillId="5" borderId="4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5" borderId="5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5" fillId="5" borderId="5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5" fillId="5" borderId="9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5" borderId="9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2" borderId="8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7" fillId="2" borderId="8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7" fillId="2" borderId="9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7" fillId="0" borderId="2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44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1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7" fillId="0" borderId="1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7" fillId="0" borderId="1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7" fillId="0" borderId="14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7" fillId="0" borderId="15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0" fillId="0" borderId="10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35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7" fillId="0" borderId="1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8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10" fillId="0" borderId="19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0" fillId="0" borderId="1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0" fillId="0" borderId="2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0" fillId="0" borderId="2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0" fillId="0" borderId="2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0" fillId="0" borderId="27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3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5" fillId="0" borderId="1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18" xfId="20" applyFont="true" applyBorder="true" applyAlignment="true" applyProtection="true">
      <alignment horizontal="left" vertical="center" textRotation="0" wrapText="false" indent="2" shrinkToFit="false"/>
      <protection locked="true" hidden="false"/>
    </xf>
    <xf numFmtId="170" fontId="8" fillId="4" borderId="19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8" fillId="0" borderId="2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8" fillId="0" borderId="2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8" fillId="0" borderId="2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23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8" fillId="0" borderId="19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8" fillId="0" borderId="19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18" xfId="20" applyFont="true" applyBorder="true" applyAlignment="true" applyProtection="true">
      <alignment horizontal="left" vertical="center" textRotation="0" wrapText="true" indent="2" shrinkToFit="false"/>
      <protection locked="true" hidden="false"/>
    </xf>
    <xf numFmtId="166" fontId="8" fillId="4" borderId="19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8" fillId="0" borderId="2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8" fillId="0" borderId="2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8" fillId="0" borderId="2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8" fillId="4" borderId="19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8" fillId="0" borderId="2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8" fillId="0" borderId="17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0" fillId="0" borderId="19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8" fillId="0" borderId="1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8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70" fontId="8" fillId="4" borderId="1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8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18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18" xfId="20" applyFont="true" applyBorder="true" applyAlignment="true" applyProtection="true">
      <alignment horizontal="left" vertical="center" textRotation="0" wrapText="true" indent="2" shrinkToFit="false"/>
      <protection locked="true" hidden="false"/>
    </xf>
    <xf numFmtId="172" fontId="8" fillId="4" borderId="1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8" fillId="0" borderId="2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8" fillId="0" borderId="2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8" fillId="4" borderId="1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8" fillId="0" borderId="2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8" fillId="0" borderId="2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58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0" fillId="4" borderId="1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0" fillId="0" borderId="59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0" fillId="0" borderId="54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0" fillId="0" borderId="55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56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7" fillId="5" borderId="4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5" borderId="9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5" borderId="4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0" fillId="5" borderId="4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0" fillId="5" borderId="4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0" fillId="5" borderId="4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0" fillId="5" borderId="4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7" fillId="5" borderId="9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5" borderId="9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0" fontId="7" fillId="0" borderId="0" xfId="2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5" fillId="0" borderId="60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5" fillId="0" borderId="60" xfId="2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8" fillId="0" borderId="47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0" fontId="8" fillId="0" borderId="47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8" fillId="0" borderId="30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8" fillId="0" borderId="48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8" fillId="0" borderId="49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0" fontId="8" fillId="0" borderId="60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8" fillId="0" borderId="61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5" fillId="0" borderId="50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5" fillId="0" borderId="50" xfId="2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5" fillId="0" borderId="0" xfId="2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5" fontId="7" fillId="0" borderId="1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0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1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7" fillId="4" borderId="1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7" fillId="4" borderId="14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7" fillId="4" borderId="15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8" fillId="0" borderId="16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7" fillId="0" borderId="19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7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1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7" fillId="0" borderId="19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7" fillId="0" borderId="2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7" fillId="0" borderId="2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7" fillId="0" borderId="2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8" fillId="0" borderId="23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5" fillId="0" borderId="19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7" xfId="20" applyFont="true" applyBorder="true" applyAlignment="true" applyProtection="true">
      <alignment horizontal="left" vertical="center" textRotation="0" wrapText="true" indent="2" shrinkToFit="false"/>
      <protection locked="true" hidden="false"/>
    </xf>
    <xf numFmtId="170" fontId="5" fillId="0" borderId="19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5" fillId="4" borderId="2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5" fillId="4" borderId="2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7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70" fontId="7" fillId="4" borderId="2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0" fillId="0" borderId="23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4" fontId="5" fillId="0" borderId="19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8" fillId="0" borderId="23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3" borderId="1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45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62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0" fontId="7" fillId="0" borderId="36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7" fillId="4" borderId="3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7" fillId="0" borderId="38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8" fillId="0" borderId="35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7" fillId="5" borderId="4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5" borderId="4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7" fillId="5" borderId="4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7" fillId="5" borderId="4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7" fillId="5" borderId="4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7" fillId="5" borderId="4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7" fillId="5" borderId="4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0" fillId="5" borderId="9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7" fillId="0" borderId="1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63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0" fontId="10" fillId="3" borderId="16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7" fillId="0" borderId="2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64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0" fontId="7" fillId="0" borderId="1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7" fillId="0" borderId="2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8" fillId="3" borderId="23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5" fillId="0" borderId="2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64" xfId="20" applyFont="true" applyBorder="true" applyAlignment="true" applyProtection="true">
      <alignment horizontal="left" vertical="center" textRotation="0" wrapText="true" indent="2" shrinkToFit="false"/>
      <protection locked="true" hidden="false"/>
    </xf>
    <xf numFmtId="170" fontId="5" fillId="0" borderId="1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5" fillId="4" borderId="19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5" fillId="4" borderId="2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8" fillId="3" borderId="23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0" fontId="5" fillId="0" borderId="2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64" xfId="20" applyFont="true" applyBorder="true" applyAlignment="true" applyProtection="true">
      <alignment horizontal="left" vertical="center" textRotation="0" wrapText="true" indent="4" shrinkToFit="false"/>
      <protection locked="true" hidden="false"/>
    </xf>
    <xf numFmtId="165" fontId="7" fillId="0" borderId="36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65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0" fontId="7" fillId="0" borderId="45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7" fillId="0" borderId="35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8" fillId="0" borderId="35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0" fontId="5" fillId="4" borderId="35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5" fillId="6" borderId="19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5" fillId="0" borderId="2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5" fillId="4" borderId="2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7" fillId="4" borderId="2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2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7" fillId="4" borderId="19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7" fillId="4" borderId="2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7" fillId="4" borderId="2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64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0" fillId="3" borderId="2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7" fillId="4" borderId="2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0" fillId="3" borderId="23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0" fillId="0" borderId="17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5" borderId="2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5" borderId="64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7" fillId="5" borderId="1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7" fillId="5" borderId="1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7" fillId="5" borderId="2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7" fillId="5" borderId="2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7" fillId="5" borderId="2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7" fillId="5" borderId="2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8" fillId="5" borderId="23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5" fillId="5" borderId="66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5" borderId="67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7" fillId="5" borderId="6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7" fillId="5" borderId="6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7" fillId="5" borderId="66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7" fillId="5" borderId="68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7" fillId="5" borderId="69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7" fillId="4" borderId="68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7" fillId="5" borderId="7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8" fillId="5" borderId="70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7" fillId="2" borderId="8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2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34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2" borderId="34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7" fillId="2" borderId="34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2" borderId="2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5" fillId="0" borderId="1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63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0" fontId="5" fillId="0" borderId="1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5" fillId="4" borderId="1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5" fillId="0" borderId="14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5" fillId="0" borderId="15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5" fillId="4" borderId="5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8" fillId="3" borderId="16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8" fillId="0" borderId="10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5" fillId="0" borderId="36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65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2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5" fillId="4" borderId="36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5" fillId="0" borderId="3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5" fillId="0" borderId="38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5" fillId="4" borderId="7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8" fillId="3" borderId="35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8" fillId="0" borderId="27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5" fillId="0" borderId="59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72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0" fontId="5" fillId="4" borderId="59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5" fillId="0" borderId="55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5" fillId="4" borderId="5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5" fillId="4" borderId="3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5" fillId="0" borderId="48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5" fillId="0" borderId="49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5" fillId="4" borderId="26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5" fillId="0" borderId="2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21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0" fontId="5" fillId="0" borderId="18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21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0" fontId="5" fillId="0" borderId="26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2" borderId="40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8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0" fontId="5" fillId="0" borderId="5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5" fillId="4" borderId="3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8" fillId="0" borderId="56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7" fillId="7" borderId="4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7" borderId="73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7" fillId="7" borderId="4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7" fillId="7" borderId="4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7" fillId="7" borderId="4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7" fillId="7" borderId="8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7" fillId="7" borderId="4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0" fillId="7" borderId="9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0" fillId="7" borderId="9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16" fillId="5" borderId="4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5" borderId="73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6" fillId="5" borderId="4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6" fillId="5" borderId="4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6" fillId="5" borderId="5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6" fillId="5" borderId="4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6" fillId="5" borderId="4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7" fillId="5" borderId="9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5" borderId="9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5" fontId="5" fillId="0" borderId="0" xfId="2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16" fillId="0" borderId="4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7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6" fillId="0" borderId="4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6" fillId="0" borderId="4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6" fillId="0" borderId="5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6" fillId="0" borderId="4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6" fillId="0" borderId="7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6" fillId="0" borderId="4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6" fillId="0" borderId="57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0" fontId="16" fillId="0" borderId="42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0" fontId="16" fillId="0" borderId="73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6" fontId="16" fillId="0" borderId="5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7" fillId="0" borderId="4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9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6" fillId="0" borderId="73" xfId="2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16" fillId="0" borderId="4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0" fontId="16" fillId="4" borderId="57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0" fontId="16" fillId="4" borderId="73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7" fillId="0" borderId="73" xfId="2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17" fillId="4" borderId="42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0" fontId="17" fillId="0" borderId="5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6" fillId="0" borderId="8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6" fillId="0" borderId="5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74" xfId="2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6" fillId="0" borderId="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6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6" fillId="0" borderId="75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6" fillId="0" borderId="6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6" fillId="0" borderId="74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6" fillId="4" borderId="75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0" fontId="16" fillId="4" borderId="74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0" fontId="16" fillId="0" borderId="34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2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6" fillId="0" borderId="7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7" fillId="0" borderId="4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6" fillId="0" borderId="66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6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6" fillId="0" borderId="6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6" fillId="0" borderId="76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6" fillId="0" borderId="68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6" fillId="0" borderId="6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6" fillId="0" borderId="62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0" fontId="16" fillId="0" borderId="76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0" fontId="17" fillId="4" borderId="68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0" fontId="16" fillId="0" borderId="67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0" fontId="17" fillId="0" borderId="68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7" fillId="0" borderId="6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70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0" fontId="18" fillId="0" borderId="0" xfId="2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0" fontId="5" fillId="0" borderId="0" xfId="2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7" fontId="18" fillId="0" borderId="0" xfId="2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1" fontId="18" fillId="0" borderId="0" xfId="2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4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1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2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1" xfId="2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8" fillId="0" borderId="21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2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8" fillId="0" borderId="21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8" fillId="0" borderId="21" xfId="2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0" fontId="8" fillId="4" borderId="21" xfId="2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8" fillId="0" borderId="21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5" fillId="0" borderId="0" xfId="20" applyFont="true" applyBorder="false" applyAlignment="true" applyProtection="true">
      <alignment horizontal="left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標準_PL-CF sheet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19F9E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externalLink" Target="externalLinks/externalLink1.xml"/><Relationship Id="rId5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smb://srvydc05/catalog/&#1071;&#1056;&#1069;&#1059;/&#1054;&#1055;&#1058;&#1080;&#1047;/&#1069;&#1082;&#1086;&#1085;&#1086;&#1084;&#1080;&#1082;&#1072;/&#1056;&#1072;&#1089;&#1082;&#1088;&#1099;&#1090;&#1080;&#1077;%20&#1080;&#1085;&#1092;-&#1080;&#1080;/2025%20&#1075;&#1086;&#1076;/&#1056;&#1072;&#1089;&#1082;&#1088;&#1099;&#1090;&#1080;&#1077;%20&#1080;&#1085;&#1092;&#1086;&#1088;&#1084;&#1072;&#1094;&#1080;&#1080;%20&#1043;&#1058;&#1069;&#1055;%20&#1076;&#1083;&#1103;%20&#1047;&#1086;&#1088;&#1080;&#1085;&#1072;%20&#1040;.&#1060;%20%20&#1054;&#1058;&#1055;&#1056;&#1040;&#1042;&#1048;&#1058;&#1068;%20&#1076;&#1086;%2001.05.2025/&#1087;.%2037%20&#1087;&#1087;.%20&#1075;)%20&#1053;&#1042;&#1042;%20-%20&#1053;&#1077;&#1086;&#1073;&#1093;&#1086;&#1076;&#1080;&#1084;&#1072;&#1103;%20&#1074;&#1072;&#1083;&#1086;&#1074;&#1072;&#1103;%20&#1074;&#1099;&#1088;&#1091;&#1095;&#1082;&#1072;/2.1.%20Tarif_EE_2026_&#1054;&#1073;&#1097;&#1072;&#1103;%20_20.04.2025.xlsx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/>
</externalLink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G20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11" activeCellId="0" sqref="H11"/>
    </sheetView>
  </sheetViews>
  <sheetFormatPr defaultColWidth="8.90625" defaultRowHeight="15" zeroHeight="false" outlineLevelRow="0" outlineLevelCol="1"/>
  <cols>
    <col collapsed="false" customWidth="true" hidden="false" outlineLevel="0" max="1" min="1" style="1" width="9.6"/>
    <col collapsed="false" customWidth="true" hidden="false" outlineLevel="0" max="2" min="2" style="2" width="61.88"/>
    <col collapsed="false" customWidth="true" hidden="false" outlineLevel="0" max="3" min="3" style="3" width="18.36"/>
    <col collapsed="false" customWidth="true" hidden="false" outlineLevel="0" max="4" min="4" style="3" width="22.13"/>
    <col collapsed="false" customWidth="true" hidden="true" outlineLevel="1" max="7" min="5" style="3" width="22.13"/>
    <col collapsed="false" customWidth="true" hidden="false" outlineLevel="0" max="8" min="8" style="3" width="22.13"/>
    <col collapsed="false" customWidth="true" hidden="true" outlineLevel="1" max="11" min="9" style="3" width="22.13"/>
    <col collapsed="false" customWidth="true" hidden="false" outlineLevel="0" max="12" min="12" style="3" width="22.13"/>
    <col collapsed="false" customWidth="true" hidden="true" outlineLevel="1" max="15" min="13" style="3" width="22.13"/>
    <col collapsed="false" customWidth="true" hidden="false" outlineLevel="0" max="16" min="16" style="3" width="22.13"/>
    <col collapsed="false" customWidth="true" hidden="true" outlineLevel="1" max="19" min="17" style="3" width="22.13"/>
    <col collapsed="false" customWidth="true" hidden="false" outlineLevel="0" max="20" min="20" style="3" width="22.13"/>
    <col collapsed="false" customWidth="true" hidden="true" outlineLevel="1" max="23" min="21" style="3" width="22.13"/>
    <col collapsed="false" customWidth="true" hidden="false" outlineLevel="0" max="24" min="24" style="3" width="22.13"/>
    <col collapsed="false" customWidth="true" hidden="true" outlineLevel="1" max="27" min="25" style="3" width="22.13"/>
    <col collapsed="false" customWidth="true" hidden="false" outlineLevel="0" max="28" min="28" style="2" width="14.76"/>
    <col collapsed="false" customWidth="true" hidden="false" outlineLevel="0" max="29" min="29" style="2" width="35.61"/>
    <col collapsed="false" customWidth="true" hidden="false" outlineLevel="0" max="30" min="30" style="2" width="11.26"/>
    <col collapsed="false" customWidth="true" hidden="false" outlineLevel="0" max="31" min="31" style="2" width="16.13"/>
    <col collapsed="false" customWidth="false" hidden="false" outlineLevel="0" max="33" min="32" style="2" width="8.9"/>
  </cols>
  <sheetData>
    <row r="1" customFormat="false" ht="18" hidden="false" customHeight="false" outlineLevel="0" collapsed="false">
      <c r="AC1" s="4" t="s">
        <v>0</v>
      </c>
    </row>
    <row r="2" customFormat="false" ht="18" hidden="false" customHeight="false" outlineLevel="0" collapsed="false">
      <c r="AC2" s="4" t="s">
        <v>1</v>
      </c>
    </row>
    <row r="3" customFormat="false" ht="15" hidden="false" customHeight="false" outlineLevel="0" collapsed="false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</row>
    <row r="4" customFormat="false" ht="15" hidden="false" customHeight="false" outlineLevel="0" collapsed="false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</row>
    <row r="5" customFormat="false" ht="15.75" hidden="false" customHeight="false" outlineLevel="0" collapsed="false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</row>
    <row r="6" customFormat="false" ht="51.7" hidden="false" customHeight="true" outlineLevel="0" collapsed="false">
      <c r="A6" s="9" t="s">
        <v>3</v>
      </c>
      <c r="B6" s="10" t="s">
        <v>4</v>
      </c>
      <c r="C6" s="11" t="s">
        <v>5</v>
      </c>
      <c r="D6" s="12" t="s">
        <v>6</v>
      </c>
      <c r="E6" s="12"/>
      <c r="F6" s="12"/>
      <c r="G6" s="12"/>
      <c r="H6" s="12" t="s">
        <v>7</v>
      </c>
      <c r="I6" s="12"/>
      <c r="J6" s="12"/>
      <c r="K6" s="12"/>
      <c r="L6" s="12" t="s">
        <v>8</v>
      </c>
      <c r="M6" s="12"/>
      <c r="N6" s="12"/>
      <c r="O6" s="12"/>
      <c r="P6" s="12" t="s">
        <v>9</v>
      </c>
      <c r="Q6" s="12"/>
      <c r="R6" s="12"/>
      <c r="S6" s="12"/>
      <c r="T6" s="12" t="s">
        <v>10</v>
      </c>
      <c r="U6" s="12"/>
      <c r="V6" s="12"/>
      <c r="W6" s="12"/>
      <c r="X6" s="12" t="s">
        <v>11</v>
      </c>
      <c r="Y6" s="12"/>
      <c r="Z6" s="12"/>
      <c r="AA6" s="12"/>
      <c r="AB6" s="12" t="s">
        <v>12</v>
      </c>
      <c r="AC6" s="12" t="s">
        <v>13</v>
      </c>
    </row>
    <row r="7" customFormat="false" ht="15.75" hidden="false" customHeight="true" outlineLevel="0" collapsed="false">
      <c r="A7" s="9"/>
      <c r="B7" s="10"/>
      <c r="C7" s="11"/>
      <c r="D7" s="13" t="s">
        <v>14</v>
      </c>
      <c r="E7" s="13" t="s">
        <v>15</v>
      </c>
      <c r="F7" s="13"/>
      <c r="G7" s="13"/>
      <c r="H7" s="13" t="s">
        <v>14</v>
      </c>
      <c r="I7" s="13" t="s">
        <v>15</v>
      </c>
      <c r="J7" s="13"/>
      <c r="K7" s="13"/>
      <c r="L7" s="13" t="s">
        <v>14</v>
      </c>
      <c r="M7" s="13" t="s">
        <v>15</v>
      </c>
      <c r="N7" s="13"/>
      <c r="O7" s="13"/>
      <c r="P7" s="13" t="s">
        <v>14</v>
      </c>
      <c r="Q7" s="13" t="s">
        <v>15</v>
      </c>
      <c r="R7" s="13"/>
      <c r="S7" s="13"/>
      <c r="T7" s="13" t="s">
        <v>14</v>
      </c>
      <c r="U7" s="13" t="s">
        <v>15</v>
      </c>
      <c r="V7" s="13"/>
      <c r="W7" s="13"/>
      <c r="X7" s="13" t="s">
        <v>14</v>
      </c>
      <c r="Y7" s="13" t="s">
        <v>15</v>
      </c>
      <c r="Z7" s="13"/>
      <c r="AA7" s="13"/>
      <c r="AB7" s="12"/>
      <c r="AC7" s="12"/>
    </row>
    <row r="8" customFormat="false" ht="15.75" hidden="false" customHeight="false" outlineLevel="0" collapsed="false">
      <c r="A8" s="9"/>
      <c r="B8" s="10"/>
      <c r="C8" s="11"/>
      <c r="D8" s="11"/>
      <c r="E8" s="14" t="s">
        <v>16</v>
      </c>
      <c r="F8" s="15" t="s">
        <v>17</v>
      </c>
      <c r="G8" s="16" t="s">
        <v>18</v>
      </c>
      <c r="H8" s="13"/>
      <c r="I8" s="14" t="s">
        <v>16</v>
      </c>
      <c r="J8" s="15" t="s">
        <v>17</v>
      </c>
      <c r="K8" s="16" t="s">
        <v>18</v>
      </c>
      <c r="L8" s="13"/>
      <c r="M8" s="14" t="s">
        <v>16</v>
      </c>
      <c r="N8" s="15" t="s">
        <v>17</v>
      </c>
      <c r="O8" s="16" t="s">
        <v>18</v>
      </c>
      <c r="P8" s="13"/>
      <c r="Q8" s="14" t="s">
        <v>16</v>
      </c>
      <c r="R8" s="15" t="s">
        <v>17</v>
      </c>
      <c r="S8" s="16" t="s">
        <v>18</v>
      </c>
      <c r="T8" s="13"/>
      <c r="U8" s="14" t="s">
        <v>16</v>
      </c>
      <c r="V8" s="15" t="s">
        <v>17</v>
      </c>
      <c r="W8" s="16" t="s">
        <v>18</v>
      </c>
      <c r="X8" s="13"/>
      <c r="Y8" s="14" t="s">
        <v>16</v>
      </c>
      <c r="Z8" s="15" t="s">
        <v>17</v>
      </c>
      <c r="AA8" s="16" t="s">
        <v>18</v>
      </c>
      <c r="AB8" s="12"/>
      <c r="AC8" s="12"/>
    </row>
    <row r="9" customFormat="false" ht="15.75" hidden="false" customHeight="false" outlineLevel="0" collapsed="false">
      <c r="A9" s="17" t="s">
        <v>19</v>
      </c>
      <c r="B9" s="18" t="s">
        <v>20</v>
      </c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20"/>
    </row>
    <row r="10" customFormat="false" ht="15" hidden="false" customHeight="false" outlineLevel="0" collapsed="false">
      <c r="A10" s="21" t="s">
        <v>21</v>
      </c>
      <c r="B10" s="22" t="s">
        <v>22</v>
      </c>
      <c r="C10" s="23" t="s">
        <v>23</v>
      </c>
      <c r="D10" s="24" t="str">
        <f aca="false">E10</f>
        <v>Природный газ</v>
      </c>
      <c r="E10" s="25" t="s">
        <v>24</v>
      </c>
      <c r="F10" s="26"/>
      <c r="G10" s="27"/>
      <c r="H10" s="24" t="str">
        <f aca="false">I10</f>
        <v>Природный газ</v>
      </c>
      <c r="I10" s="28" t="str">
        <f aca="false">E10</f>
        <v>Природный газ</v>
      </c>
      <c r="J10" s="26"/>
      <c r="K10" s="27"/>
      <c r="L10" s="24" t="n">
        <f aca="false">M10</f>
        <v>0</v>
      </c>
      <c r="M10" s="28"/>
      <c r="N10" s="26"/>
      <c r="O10" s="27"/>
      <c r="P10" s="24" t="str">
        <f aca="false">Q10</f>
        <v>Природный газ</v>
      </c>
      <c r="Q10" s="28" t="s">
        <v>24</v>
      </c>
      <c r="R10" s="26"/>
      <c r="S10" s="27"/>
      <c r="T10" s="24" t="str">
        <f aca="false">U10</f>
        <v>Природный газ</v>
      </c>
      <c r="U10" s="28" t="s">
        <v>24</v>
      </c>
      <c r="V10" s="26"/>
      <c r="W10" s="27"/>
      <c r="X10" s="24" t="n">
        <f aca="false">Y10</f>
        <v>0</v>
      </c>
      <c r="Y10" s="28"/>
      <c r="Z10" s="26"/>
      <c r="AA10" s="27"/>
      <c r="AB10" s="29"/>
      <c r="AC10" s="30"/>
    </row>
    <row r="11" customFormat="false" ht="15" hidden="false" customHeight="false" outlineLevel="0" collapsed="false">
      <c r="A11" s="31" t="s">
        <v>25</v>
      </c>
      <c r="B11" s="32" t="s">
        <v>26</v>
      </c>
      <c r="C11" s="33" t="s">
        <v>27</v>
      </c>
      <c r="D11" s="34" t="n">
        <f aca="false">F11</f>
        <v>0</v>
      </c>
      <c r="E11" s="35"/>
      <c r="F11" s="36"/>
      <c r="G11" s="37"/>
      <c r="H11" s="34" t="n">
        <f aca="false">J11</f>
        <v>0</v>
      </c>
      <c r="I11" s="35"/>
      <c r="J11" s="36"/>
      <c r="K11" s="37"/>
      <c r="L11" s="34" t="n">
        <f aca="false">N11</f>
        <v>0</v>
      </c>
      <c r="M11" s="35"/>
      <c r="N11" s="36"/>
      <c r="O11" s="37"/>
      <c r="P11" s="34" t="n">
        <f aca="false">R11</f>
        <v>0</v>
      </c>
      <c r="Q11" s="35"/>
      <c r="R11" s="36"/>
      <c r="S11" s="37"/>
      <c r="T11" s="34" t="n">
        <f aca="false">V11</f>
        <v>0</v>
      </c>
      <c r="U11" s="35"/>
      <c r="V11" s="36"/>
      <c r="W11" s="37"/>
      <c r="X11" s="34" t="n">
        <f aca="false">Z11</f>
        <v>0</v>
      </c>
      <c r="Y11" s="35"/>
      <c r="Z11" s="36"/>
      <c r="AA11" s="37"/>
      <c r="AB11" s="38" t="n">
        <f aca="false">IFERROR(X11/P11,0)</f>
        <v>0</v>
      </c>
      <c r="AC11" s="39"/>
    </row>
    <row r="12" customFormat="false" ht="15" hidden="false" customHeight="false" outlineLevel="0" collapsed="false">
      <c r="A12" s="31" t="s">
        <v>28</v>
      </c>
      <c r="B12" s="32" t="s">
        <v>29</v>
      </c>
      <c r="C12" s="33" t="s">
        <v>30</v>
      </c>
      <c r="D12" s="40" t="n">
        <f aca="false">D11/D14</f>
        <v>0</v>
      </c>
      <c r="E12" s="41"/>
      <c r="F12" s="42" t="n">
        <f aca="false">F11/F14</f>
        <v>0</v>
      </c>
      <c r="G12" s="43"/>
      <c r="H12" s="40" t="n">
        <f aca="false">H11/H14</f>
        <v>0</v>
      </c>
      <c r="I12" s="41"/>
      <c r="J12" s="42" t="n">
        <f aca="false">J11/J14</f>
        <v>0</v>
      </c>
      <c r="K12" s="43"/>
      <c r="L12" s="40" t="e">
        <f aca="false">L11/L14</f>
        <v>#DIV/0!</v>
      </c>
      <c r="M12" s="41"/>
      <c r="N12" s="42" t="e">
        <f aca="false">N11/N14</f>
        <v>#DIV/0!</v>
      </c>
      <c r="O12" s="43"/>
      <c r="P12" s="40" t="n">
        <f aca="false">P11/P14</f>
        <v>0</v>
      </c>
      <c r="Q12" s="41"/>
      <c r="R12" s="42" t="n">
        <f aca="false">R11/R14</f>
        <v>0</v>
      </c>
      <c r="S12" s="43"/>
      <c r="T12" s="40" t="n">
        <f aca="false">T11/T14</f>
        <v>0</v>
      </c>
      <c r="U12" s="41"/>
      <c r="V12" s="42" t="n">
        <f aca="false">V11/V14</f>
        <v>0</v>
      </c>
      <c r="W12" s="43"/>
      <c r="X12" s="40" t="e">
        <f aca="false">X11/X14</f>
        <v>#DIV/0!</v>
      </c>
      <c r="Y12" s="41"/>
      <c r="Z12" s="42" t="e">
        <f aca="false">Z11/Z14</f>
        <v>#DIV/0!</v>
      </c>
      <c r="AA12" s="43"/>
      <c r="AB12" s="38" t="n">
        <f aca="false">IFERROR(X12/P12,0)</f>
        <v>0</v>
      </c>
      <c r="AC12" s="39"/>
    </row>
    <row r="13" customFormat="false" ht="15" hidden="false" customHeight="false" outlineLevel="0" collapsed="false">
      <c r="A13" s="31" t="s">
        <v>31</v>
      </c>
      <c r="B13" s="44" t="s">
        <v>32</v>
      </c>
      <c r="C13" s="45" t="s">
        <v>33</v>
      </c>
      <c r="D13" s="46" t="n">
        <f aca="false">E13</f>
        <v>94.5</v>
      </c>
      <c r="E13" s="47" t="n">
        <v>94.5</v>
      </c>
      <c r="F13" s="48"/>
      <c r="G13" s="49"/>
      <c r="H13" s="46" t="n">
        <f aca="false">I13</f>
        <v>94.5</v>
      </c>
      <c r="I13" s="28" t="n">
        <f aca="false">E13</f>
        <v>94.5</v>
      </c>
      <c r="J13" s="48"/>
      <c r="K13" s="49"/>
      <c r="L13" s="46" t="n">
        <f aca="false">M13</f>
        <v>0</v>
      </c>
      <c r="M13" s="50"/>
      <c r="N13" s="48"/>
      <c r="O13" s="49"/>
      <c r="P13" s="46" t="n">
        <f aca="false">Q13</f>
        <v>94.5</v>
      </c>
      <c r="Q13" s="50" t="n">
        <v>94.5</v>
      </c>
      <c r="R13" s="48"/>
      <c r="S13" s="49"/>
      <c r="T13" s="46" t="n">
        <f aca="false">U13</f>
        <v>94.5</v>
      </c>
      <c r="U13" s="50" t="n">
        <v>94.5</v>
      </c>
      <c r="V13" s="48"/>
      <c r="W13" s="49"/>
      <c r="X13" s="46" t="n">
        <f aca="false">Y13</f>
        <v>0</v>
      </c>
      <c r="Y13" s="50"/>
      <c r="Z13" s="48"/>
      <c r="AA13" s="49"/>
      <c r="AB13" s="38" t="n">
        <f aca="false">IFERROR(X13/P13,0)</f>
        <v>0</v>
      </c>
      <c r="AC13" s="51"/>
    </row>
    <row r="14" customFormat="false" ht="15" hidden="false" customHeight="false" outlineLevel="0" collapsed="false">
      <c r="A14" s="31" t="s">
        <v>34</v>
      </c>
      <c r="B14" s="44" t="s">
        <v>35</v>
      </c>
      <c r="C14" s="45" t="s">
        <v>33</v>
      </c>
      <c r="D14" s="46" t="n">
        <f aca="false">E14</f>
        <v>30</v>
      </c>
      <c r="E14" s="47" t="n">
        <v>30</v>
      </c>
      <c r="F14" s="52" t="n">
        <f aca="false">E14</f>
        <v>30</v>
      </c>
      <c r="G14" s="49"/>
      <c r="H14" s="46" t="n">
        <f aca="false">I14</f>
        <v>30</v>
      </c>
      <c r="I14" s="28" t="n">
        <f aca="false">E14</f>
        <v>30</v>
      </c>
      <c r="J14" s="52" t="n">
        <f aca="false">I14</f>
        <v>30</v>
      </c>
      <c r="K14" s="49"/>
      <c r="L14" s="46" t="n">
        <f aca="false">M14</f>
        <v>0</v>
      </c>
      <c r="M14" s="50"/>
      <c r="N14" s="52" t="n">
        <f aca="false">M14</f>
        <v>0</v>
      </c>
      <c r="O14" s="49"/>
      <c r="P14" s="46" t="n">
        <f aca="false">Q14</f>
        <v>30</v>
      </c>
      <c r="Q14" s="50" t="n">
        <v>30</v>
      </c>
      <c r="R14" s="52" t="n">
        <f aca="false">Q14</f>
        <v>30</v>
      </c>
      <c r="S14" s="49"/>
      <c r="T14" s="46" t="n">
        <f aca="false">U14</f>
        <v>30</v>
      </c>
      <c r="U14" s="50" t="n">
        <v>30</v>
      </c>
      <c r="V14" s="52" t="n">
        <f aca="false">U14</f>
        <v>30</v>
      </c>
      <c r="W14" s="49"/>
      <c r="X14" s="46" t="n">
        <f aca="false">Y14</f>
        <v>0</v>
      </c>
      <c r="Y14" s="50"/>
      <c r="Z14" s="52" t="n">
        <f aca="false">Y14</f>
        <v>0</v>
      </c>
      <c r="AA14" s="49"/>
      <c r="AB14" s="38" t="n">
        <f aca="false">IFERROR(X14/P14,0)</f>
        <v>0</v>
      </c>
      <c r="AC14" s="53"/>
    </row>
    <row r="15" customFormat="false" ht="15" hidden="false" customHeight="false" outlineLevel="0" collapsed="false">
      <c r="A15" s="31" t="s">
        <v>36</v>
      </c>
      <c r="B15" s="44" t="s">
        <v>37</v>
      </c>
      <c r="C15" s="45" t="s">
        <v>38</v>
      </c>
      <c r="D15" s="54" t="n">
        <f aca="false">(D13-D14)/D13</f>
        <v>0.682539682539683</v>
      </c>
      <c r="E15" s="55" t="n">
        <f aca="false">(E13-E14)/E13</f>
        <v>0.682539682539683</v>
      </c>
      <c r="F15" s="48"/>
      <c r="G15" s="49"/>
      <c r="H15" s="54" t="n">
        <f aca="false">(H13-H14)/H13</f>
        <v>0.682539682539683</v>
      </c>
      <c r="I15" s="55" t="n">
        <f aca="false">(I13-I14)/I13</f>
        <v>0.682539682539683</v>
      </c>
      <c r="J15" s="48"/>
      <c r="K15" s="49"/>
      <c r="L15" s="54" t="e">
        <f aca="false">(L13-L14)/L13</f>
        <v>#DIV/0!</v>
      </c>
      <c r="M15" s="55" t="e">
        <f aca="false">(M13-M14)/M13</f>
        <v>#DIV/0!</v>
      </c>
      <c r="N15" s="48"/>
      <c r="O15" s="49"/>
      <c r="P15" s="54" t="n">
        <f aca="false">(P13-P14)/P13</f>
        <v>0.682539682539683</v>
      </c>
      <c r="Q15" s="55" t="n">
        <f aca="false">(Q13-Q14)/Q13</f>
        <v>0.682539682539683</v>
      </c>
      <c r="R15" s="48"/>
      <c r="S15" s="49"/>
      <c r="T15" s="54" t="n">
        <f aca="false">(T13-T14)/T13</f>
        <v>0.682539682539683</v>
      </c>
      <c r="U15" s="55" t="n">
        <f aca="false">(U13-U14)/U13</f>
        <v>0.682539682539683</v>
      </c>
      <c r="V15" s="48"/>
      <c r="W15" s="49"/>
      <c r="X15" s="54" t="e">
        <f aca="false">(X13-X14)/X13</f>
        <v>#DIV/0!</v>
      </c>
      <c r="Y15" s="55" t="e">
        <f aca="false">(Y13-Y14)/Y13</f>
        <v>#DIV/0!</v>
      </c>
      <c r="Z15" s="48"/>
      <c r="AA15" s="49"/>
      <c r="AB15" s="38" t="n">
        <f aca="false">IFERROR(X15/P15,0)</f>
        <v>0</v>
      </c>
      <c r="AC15" s="39"/>
    </row>
    <row r="16" customFormat="false" ht="15.75" hidden="false" customHeight="false" outlineLevel="0" collapsed="false">
      <c r="A16" s="56" t="s">
        <v>39</v>
      </c>
      <c r="B16" s="57" t="s">
        <v>40</v>
      </c>
      <c r="C16" s="58" t="s">
        <v>38</v>
      </c>
      <c r="D16" s="54" t="n">
        <f aca="false">D17/(D13*365*24)</f>
        <v>0.207837452586311</v>
      </c>
      <c r="E16" s="59" t="n">
        <f aca="false">E17/(E13*365*24)</f>
        <v>0.207837452586311</v>
      </c>
      <c r="F16" s="60"/>
      <c r="G16" s="61"/>
      <c r="H16" s="54" t="n">
        <f aca="false">H17/(H13*365*24)</f>
        <v>0.20045080331473</v>
      </c>
      <c r="I16" s="59" t="n">
        <f aca="false">I17/(I13*365*24)</f>
        <v>0.20045080331473</v>
      </c>
      <c r="J16" s="60"/>
      <c r="K16" s="61"/>
      <c r="L16" s="54" t="e">
        <f aca="false">L17/(L13*365*24)</f>
        <v>#DIV/0!</v>
      </c>
      <c r="M16" s="59" t="e">
        <f aca="false">M17/(M13*365*24)</f>
        <v>#DIV/0!</v>
      </c>
      <c r="N16" s="60"/>
      <c r="O16" s="61"/>
      <c r="P16" s="54" t="n">
        <f aca="false">P17/(P13*365*24)</f>
        <v>0.197481336522432</v>
      </c>
      <c r="Q16" s="59" t="n">
        <f aca="false">Q17/(Q13*365*24)</f>
        <v>0.197481336522432</v>
      </c>
      <c r="R16" s="60"/>
      <c r="S16" s="61"/>
      <c r="T16" s="54" t="n">
        <f aca="false">T17/(T13*365*24)</f>
        <v>0.201093714817231</v>
      </c>
      <c r="U16" s="59" t="n">
        <f aca="false">U17/(U13*365*24)</f>
        <v>0.201093714817231</v>
      </c>
      <c r="V16" s="60"/>
      <c r="W16" s="61"/>
      <c r="X16" s="54" t="e">
        <f aca="false">X17/(X13*365*24)</f>
        <v>#DIV/0!</v>
      </c>
      <c r="Y16" s="59" t="e">
        <f aca="false">Y17/(Y13*365*24)</f>
        <v>#DIV/0!</v>
      </c>
      <c r="Z16" s="60"/>
      <c r="AA16" s="61"/>
      <c r="AB16" s="38" t="n">
        <f aca="false">IFERROR(X16/P16,0)</f>
        <v>0</v>
      </c>
      <c r="AC16" s="62"/>
    </row>
    <row r="17" customFormat="false" ht="15.75" hidden="false" customHeight="false" outlineLevel="0" collapsed="false">
      <c r="A17" s="9" t="s">
        <v>41</v>
      </c>
      <c r="B17" s="63" t="s">
        <v>42</v>
      </c>
      <c r="C17" s="64" t="s">
        <v>43</v>
      </c>
      <c r="D17" s="65" t="n">
        <f aca="false">D18+D20-D21</f>
        <v>172052</v>
      </c>
      <c r="E17" s="66" t="n">
        <f aca="false">D17</f>
        <v>172052</v>
      </c>
      <c r="F17" s="67"/>
      <c r="G17" s="68"/>
      <c r="H17" s="69" t="n">
        <f aca="false">H18+H20-H21</f>
        <v>165937.184</v>
      </c>
      <c r="I17" s="66" t="n">
        <f aca="false">H17</f>
        <v>165937.184</v>
      </c>
      <c r="J17" s="67"/>
      <c r="K17" s="68"/>
      <c r="L17" s="65" t="n">
        <f aca="false">L18+L20-L21</f>
        <v>0</v>
      </c>
      <c r="M17" s="66" t="n">
        <f aca="false">L17</f>
        <v>0</v>
      </c>
      <c r="N17" s="67"/>
      <c r="O17" s="68"/>
      <c r="P17" s="65" t="n">
        <f aca="false">P18+P20-P21</f>
        <v>163479</v>
      </c>
      <c r="Q17" s="66" t="n">
        <f aca="false">P17</f>
        <v>163479</v>
      </c>
      <c r="R17" s="67"/>
      <c r="S17" s="68"/>
      <c r="T17" s="65" t="n">
        <f aca="false">T18+T20-T21</f>
        <v>166469.399</v>
      </c>
      <c r="U17" s="66" t="n">
        <f aca="false">T17</f>
        <v>166469.399</v>
      </c>
      <c r="V17" s="67"/>
      <c r="W17" s="68"/>
      <c r="X17" s="65" t="n">
        <f aca="false">X18+X20-X21</f>
        <v>0</v>
      </c>
      <c r="Y17" s="66" t="n">
        <f aca="false">X17</f>
        <v>0</v>
      </c>
      <c r="Z17" s="67"/>
      <c r="AA17" s="68"/>
      <c r="AB17" s="70" t="n">
        <f aca="false">IFERROR(X17/P17,0)</f>
        <v>0</v>
      </c>
      <c r="AC17" s="71"/>
    </row>
    <row r="18" customFormat="false" ht="15" hidden="false" customHeight="false" outlineLevel="0" collapsed="false">
      <c r="A18" s="21" t="s">
        <v>44</v>
      </c>
      <c r="B18" s="72" t="s">
        <v>45</v>
      </c>
      <c r="C18" s="73" t="s">
        <v>43</v>
      </c>
      <c r="D18" s="74" t="n">
        <v>6826.51</v>
      </c>
      <c r="E18" s="75" t="n">
        <f aca="false">D18</f>
        <v>6826.51</v>
      </c>
      <c r="F18" s="76"/>
      <c r="G18" s="77"/>
      <c r="H18" s="78" t="n">
        <f aca="false">3236.349+2229.304</f>
        <v>5465.653</v>
      </c>
      <c r="I18" s="75" t="n">
        <f aca="false">H18</f>
        <v>5465.653</v>
      </c>
      <c r="J18" s="76"/>
      <c r="K18" s="77"/>
      <c r="L18" s="78"/>
      <c r="M18" s="75" t="n">
        <f aca="false">L18</f>
        <v>0</v>
      </c>
      <c r="N18" s="76"/>
      <c r="O18" s="77"/>
      <c r="P18" s="78" t="n">
        <v>6486.4</v>
      </c>
      <c r="Q18" s="75" t="n">
        <f aca="false">P18</f>
        <v>6486.4</v>
      </c>
      <c r="R18" s="76"/>
      <c r="S18" s="77"/>
      <c r="T18" s="78" t="n">
        <f aca="false">2396.85+3444.9</f>
        <v>5841.75</v>
      </c>
      <c r="U18" s="75" t="n">
        <f aca="false">T18</f>
        <v>5841.75</v>
      </c>
      <c r="V18" s="76"/>
      <c r="W18" s="77"/>
      <c r="X18" s="78"/>
      <c r="Y18" s="75" t="n">
        <f aca="false">X18</f>
        <v>0</v>
      </c>
      <c r="Z18" s="76"/>
      <c r="AA18" s="77"/>
      <c r="AB18" s="79" t="n">
        <f aca="false">IFERROR(X18/P18,0)</f>
        <v>0</v>
      </c>
      <c r="AC18" s="30"/>
    </row>
    <row r="19" customFormat="false" ht="15" hidden="false" customHeight="false" outlineLevel="0" collapsed="false">
      <c r="A19" s="31"/>
      <c r="B19" s="80" t="s">
        <v>46</v>
      </c>
      <c r="C19" s="81" t="s">
        <v>38</v>
      </c>
      <c r="D19" s="82" t="n">
        <f aca="false">D18/D17</f>
        <v>0.0396770162509009</v>
      </c>
      <c r="E19" s="83" t="n">
        <f aca="false">D19</f>
        <v>0.0396770162509009</v>
      </c>
      <c r="F19" s="84"/>
      <c r="G19" s="85"/>
      <c r="H19" s="82" t="n">
        <f aca="false">H18/H17</f>
        <v>0.0329380845706047</v>
      </c>
      <c r="I19" s="83" t="n">
        <f aca="false">H19</f>
        <v>0.0329380845706047</v>
      </c>
      <c r="J19" s="84"/>
      <c r="K19" s="85"/>
      <c r="L19" s="82" t="e">
        <f aca="false">L18/L17</f>
        <v>#DIV/0!</v>
      </c>
      <c r="M19" s="83" t="e">
        <f aca="false">L19</f>
        <v>#DIV/0!</v>
      </c>
      <c r="N19" s="84"/>
      <c r="O19" s="85"/>
      <c r="P19" s="82" t="n">
        <f aca="false">P18/P17</f>
        <v>0.0396772674166101</v>
      </c>
      <c r="Q19" s="83" t="n">
        <f aca="false">P19</f>
        <v>0.0396772674166101</v>
      </c>
      <c r="R19" s="84"/>
      <c r="S19" s="85"/>
      <c r="T19" s="82" t="n">
        <f aca="false">T18/T17</f>
        <v>0.0350920351433479</v>
      </c>
      <c r="U19" s="83" t="n">
        <f aca="false">T19</f>
        <v>0.0350920351433479</v>
      </c>
      <c r="V19" s="84"/>
      <c r="W19" s="85"/>
      <c r="X19" s="82" t="e">
        <f aca="false">X18/X17</f>
        <v>#DIV/0!</v>
      </c>
      <c r="Y19" s="83" t="e">
        <f aca="false">X19</f>
        <v>#DIV/0!</v>
      </c>
      <c r="Z19" s="84"/>
      <c r="AA19" s="85"/>
      <c r="AB19" s="38" t="n">
        <f aca="false">IFERROR(X19/P19,0)</f>
        <v>0</v>
      </c>
      <c r="AC19" s="39"/>
    </row>
    <row r="20" customFormat="false" ht="15" hidden="false" customHeight="false" outlineLevel="0" collapsed="false">
      <c r="A20" s="86" t="s">
        <v>47</v>
      </c>
      <c r="B20" s="87" t="s">
        <v>48</v>
      </c>
      <c r="C20" s="88" t="s">
        <v>43</v>
      </c>
      <c r="D20" s="89" t="n">
        <f aca="false">D25+D22</f>
        <v>165225.49</v>
      </c>
      <c r="E20" s="90" t="n">
        <f aca="false">D20</f>
        <v>165225.49</v>
      </c>
      <c r="F20" s="91" t="n">
        <f aca="false">E20</f>
        <v>165225.49</v>
      </c>
      <c r="G20" s="92"/>
      <c r="H20" s="89" t="n">
        <f aca="false">H25+H22</f>
        <v>160471.531</v>
      </c>
      <c r="I20" s="90" t="n">
        <f aca="false">H20</f>
        <v>160471.531</v>
      </c>
      <c r="J20" s="91" t="n">
        <f aca="false">I20</f>
        <v>160471.531</v>
      </c>
      <c r="K20" s="92"/>
      <c r="L20" s="89" t="n">
        <f aca="false">L25+L22</f>
        <v>0</v>
      </c>
      <c r="M20" s="90" t="n">
        <f aca="false">L20</f>
        <v>0</v>
      </c>
      <c r="N20" s="91" t="n">
        <f aca="false">M20</f>
        <v>0</v>
      </c>
      <c r="O20" s="92"/>
      <c r="P20" s="89" t="n">
        <f aca="false">P25+P22</f>
        <v>156992.6</v>
      </c>
      <c r="Q20" s="90" t="n">
        <f aca="false">P20</f>
        <v>156992.6</v>
      </c>
      <c r="R20" s="91" t="n">
        <f aca="false">Q20</f>
        <v>156992.6</v>
      </c>
      <c r="S20" s="92"/>
      <c r="T20" s="89" t="n">
        <f aca="false">T25+T22</f>
        <v>160627.649</v>
      </c>
      <c r="U20" s="90" t="n">
        <f aca="false">T20</f>
        <v>160627.649</v>
      </c>
      <c r="V20" s="91" t="n">
        <f aca="false">U20</f>
        <v>160627.649</v>
      </c>
      <c r="W20" s="92"/>
      <c r="X20" s="89" t="n">
        <f aca="false">X25+X22</f>
        <v>0</v>
      </c>
      <c r="Y20" s="90" t="n">
        <f aca="false">X20</f>
        <v>0</v>
      </c>
      <c r="Z20" s="91" t="n">
        <f aca="false">Y20</f>
        <v>0</v>
      </c>
      <c r="AA20" s="92"/>
      <c r="AB20" s="38" t="n">
        <f aca="false">IFERROR(X20/P20,0)</f>
        <v>0</v>
      </c>
      <c r="AC20" s="93"/>
      <c r="AD20" s="94"/>
      <c r="AE20" s="94"/>
      <c r="AF20" s="94"/>
      <c r="AG20" s="94"/>
    </row>
    <row r="21" customFormat="false" ht="15" hidden="false" customHeight="false" outlineLevel="0" collapsed="false">
      <c r="A21" s="31" t="s">
        <v>49</v>
      </c>
      <c r="B21" s="44" t="s">
        <v>50</v>
      </c>
      <c r="C21" s="81" t="s">
        <v>43</v>
      </c>
      <c r="D21" s="95"/>
      <c r="E21" s="96"/>
      <c r="F21" s="97" t="n">
        <f aca="false">D21</f>
        <v>0</v>
      </c>
      <c r="G21" s="85"/>
      <c r="H21" s="95"/>
      <c r="I21" s="96"/>
      <c r="J21" s="97" t="n">
        <f aca="false">H21</f>
        <v>0</v>
      </c>
      <c r="K21" s="85"/>
      <c r="L21" s="95"/>
      <c r="M21" s="96"/>
      <c r="N21" s="97" t="n">
        <f aca="false">L21</f>
        <v>0</v>
      </c>
      <c r="O21" s="85"/>
      <c r="P21" s="95"/>
      <c r="Q21" s="96"/>
      <c r="R21" s="97" t="n">
        <f aca="false">P21</f>
        <v>0</v>
      </c>
      <c r="S21" s="85"/>
      <c r="T21" s="95"/>
      <c r="U21" s="96"/>
      <c r="V21" s="97" t="n">
        <f aca="false">T21</f>
        <v>0</v>
      </c>
      <c r="W21" s="85"/>
      <c r="X21" s="95"/>
      <c r="Y21" s="96"/>
      <c r="Z21" s="97" t="n">
        <f aca="false">X21</f>
        <v>0</v>
      </c>
      <c r="AA21" s="85"/>
      <c r="AB21" s="38" t="n">
        <f aca="false">IFERROR(X21/P21,0)</f>
        <v>0</v>
      </c>
      <c r="AC21" s="39"/>
    </row>
    <row r="22" customFormat="false" ht="15" hidden="false" customHeight="false" outlineLevel="0" collapsed="false">
      <c r="A22" s="98" t="s">
        <v>51</v>
      </c>
      <c r="B22" s="44" t="s">
        <v>52</v>
      </c>
      <c r="C22" s="81" t="s">
        <v>43</v>
      </c>
      <c r="D22" s="99"/>
      <c r="E22" s="100"/>
      <c r="F22" s="101" t="n">
        <f aca="false">D22</f>
        <v>0</v>
      </c>
      <c r="G22" s="102"/>
      <c r="H22" s="99" t="n">
        <v>1839.19</v>
      </c>
      <c r="I22" s="100"/>
      <c r="J22" s="101" t="n">
        <f aca="false">H22</f>
        <v>1839.19</v>
      </c>
      <c r="K22" s="102"/>
      <c r="L22" s="99"/>
      <c r="M22" s="100"/>
      <c r="N22" s="101" t="n">
        <f aca="false">L22</f>
        <v>0</v>
      </c>
      <c r="O22" s="102"/>
      <c r="P22" s="99"/>
      <c r="Q22" s="100"/>
      <c r="R22" s="101" t="n">
        <f aca="false">P22</f>
        <v>0</v>
      </c>
      <c r="S22" s="102"/>
      <c r="T22" s="99" t="n">
        <v>1992.436</v>
      </c>
      <c r="U22" s="100"/>
      <c r="V22" s="101"/>
      <c r="W22" s="102"/>
      <c r="X22" s="99"/>
      <c r="Y22" s="100"/>
      <c r="Z22" s="101" t="n">
        <f aca="false">X22</f>
        <v>0</v>
      </c>
      <c r="AA22" s="102"/>
      <c r="AB22" s="38" t="n">
        <f aca="false">IFERROR(X22/P22,0)</f>
        <v>0</v>
      </c>
      <c r="AC22" s="103"/>
    </row>
    <row r="23" customFormat="false" ht="15" hidden="false" customHeight="false" outlineLevel="0" collapsed="false">
      <c r="A23" s="31" t="s">
        <v>53</v>
      </c>
      <c r="B23" s="44" t="s">
        <v>54</v>
      </c>
      <c r="C23" s="81" t="s">
        <v>38</v>
      </c>
      <c r="D23" s="82" t="n">
        <f aca="false">D22/D20</f>
        <v>0</v>
      </c>
      <c r="E23" s="96"/>
      <c r="F23" s="104" t="n">
        <f aca="false">D23</f>
        <v>0</v>
      </c>
      <c r="G23" s="85"/>
      <c r="H23" s="82" t="n">
        <f aca="false">H22/H20</f>
        <v>0.0114611606715462</v>
      </c>
      <c r="I23" s="96"/>
      <c r="J23" s="104" t="n">
        <f aca="false">H23</f>
        <v>0.0114611606715462</v>
      </c>
      <c r="K23" s="85"/>
      <c r="L23" s="82" t="e">
        <f aca="false">L22/L20</f>
        <v>#DIV/0!</v>
      </c>
      <c r="M23" s="96"/>
      <c r="N23" s="104" t="e">
        <f aca="false">L23</f>
        <v>#DIV/0!</v>
      </c>
      <c r="O23" s="85"/>
      <c r="P23" s="82" t="n">
        <f aca="false">P22/P20</f>
        <v>0</v>
      </c>
      <c r="Q23" s="96"/>
      <c r="R23" s="104" t="n">
        <f aca="false">P23</f>
        <v>0</v>
      </c>
      <c r="S23" s="85"/>
      <c r="T23" s="82" t="n">
        <f aca="false">T22/T20</f>
        <v>0.0124040662513837</v>
      </c>
      <c r="U23" s="96"/>
      <c r="V23" s="104" t="n">
        <f aca="false">T23</f>
        <v>0.0124040662513837</v>
      </c>
      <c r="W23" s="85"/>
      <c r="X23" s="82" t="e">
        <f aca="false">X22/X20</f>
        <v>#DIV/0!</v>
      </c>
      <c r="Y23" s="96"/>
      <c r="Z23" s="104" t="e">
        <f aca="false">X23</f>
        <v>#DIV/0!</v>
      </c>
      <c r="AA23" s="85"/>
      <c r="AB23" s="38" t="n">
        <f aca="false">IFERROR(X23/P23,0)</f>
        <v>0</v>
      </c>
      <c r="AC23" s="39"/>
    </row>
    <row r="24" customFormat="false" ht="15.75" hidden="false" customHeight="false" outlineLevel="0" collapsed="false">
      <c r="A24" s="56" t="s">
        <v>55</v>
      </c>
      <c r="B24" s="57" t="s">
        <v>56</v>
      </c>
      <c r="C24" s="105" t="s">
        <v>57</v>
      </c>
      <c r="D24" s="106" t="e">
        <f aca="false">D22/D11</f>
        <v>#DIV/0!</v>
      </c>
      <c r="E24" s="107"/>
      <c r="F24" s="108" t="e">
        <f aca="false">D24</f>
        <v>#DIV/0!</v>
      </c>
      <c r="G24" s="109"/>
      <c r="H24" s="106" t="e">
        <f aca="false">H22/H11</f>
        <v>#DIV/0!</v>
      </c>
      <c r="I24" s="107"/>
      <c r="J24" s="108" t="e">
        <f aca="false">H24</f>
        <v>#DIV/0!</v>
      </c>
      <c r="K24" s="109"/>
      <c r="L24" s="106" t="e">
        <f aca="false">L22/L11</f>
        <v>#DIV/0!</v>
      </c>
      <c r="M24" s="107"/>
      <c r="N24" s="108" t="e">
        <f aca="false">L24</f>
        <v>#DIV/0!</v>
      </c>
      <c r="O24" s="109"/>
      <c r="P24" s="106" t="e">
        <f aca="false">P22/P11</f>
        <v>#DIV/0!</v>
      </c>
      <c r="Q24" s="107"/>
      <c r="R24" s="108" t="e">
        <f aca="false">P24</f>
        <v>#DIV/0!</v>
      </c>
      <c r="S24" s="109"/>
      <c r="T24" s="106" t="e">
        <f aca="false">T22/T11</f>
        <v>#DIV/0!</v>
      </c>
      <c r="U24" s="107"/>
      <c r="V24" s="108" t="e">
        <f aca="false">T24</f>
        <v>#DIV/0!</v>
      </c>
      <c r="W24" s="109"/>
      <c r="X24" s="106" t="e">
        <f aca="false">X22/X11</f>
        <v>#DIV/0!</v>
      </c>
      <c r="Y24" s="107"/>
      <c r="Z24" s="108" t="e">
        <f aca="false">X24</f>
        <v>#DIV/0!</v>
      </c>
      <c r="AA24" s="109"/>
      <c r="AB24" s="38" t="n">
        <f aca="false">IFERROR(X24/P24,0)</f>
        <v>0</v>
      </c>
      <c r="AC24" s="62"/>
    </row>
    <row r="25" customFormat="false" ht="15.75" hidden="false" customHeight="false" outlineLevel="0" collapsed="false">
      <c r="A25" s="110" t="s">
        <v>58</v>
      </c>
      <c r="B25" s="111" t="s">
        <v>59</v>
      </c>
      <c r="C25" s="112" t="s">
        <v>43</v>
      </c>
      <c r="D25" s="113" t="n">
        <f aca="false">D26+D27+D28+D29</f>
        <v>165225.49</v>
      </c>
      <c r="E25" s="114"/>
      <c r="F25" s="115" t="n">
        <f aca="false">D25</f>
        <v>165225.49</v>
      </c>
      <c r="G25" s="116" t="n">
        <f aca="false">F25</f>
        <v>165225.49</v>
      </c>
      <c r="H25" s="113" t="n">
        <f aca="false">H26+H27+H28+H29</f>
        <v>158632.341</v>
      </c>
      <c r="I25" s="114"/>
      <c r="J25" s="115" t="n">
        <f aca="false">H25</f>
        <v>158632.341</v>
      </c>
      <c r="K25" s="116" t="n">
        <f aca="false">J25</f>
        <v>158632.341</v>
      </c>
      <c r="L25" s="113" t="n">
        <f aca="false">L26+L27+L28+L29</f>
        <v>0</v>
      </c>
      <c r="M25" s="114"/>
      <c r="N25" s="115" t="n">
        <f aca="false">L25</f>
        <v>0</v>
      </c>
      <c r="O25" s="116" t="n">
        <f aca="false">N25</f>
        <v>0</v>
      </c>
      <c r="P25" s="113" t="n">
        <f aca="false">P26+P27+P28+P29</f>
        <v>156992.6</v>
      </c>
      <c r="Q25" s="114"/>
      <c r="R25" s="115" t="n">
        <f aca="false">P25</f>
        <v>156992.6</v>
      </c>
      <c r="S25" s="116" t="n">
        <f aca="false">R25</f>
        <v>156992.6</v>
      </c>
      <c r="T25" s="113" t="n">
        <f aca="false">T26+T27+T28+T29</f>
        <v>158635.213</v>
      </c>
      <c r="U25" s="114"/>
      <c r="V25" s="115" t="n">
        <f aca="false">T25</f>
        <v>158635.213</v>
      </c>
      <c r="W25" s="116" t="n">
        <f aca="false">V25</f>
        <v>158635.213</v>
      </c>
      <c r="X25" s="113" t="n">
        <f aca="false">X26+X27+X28+X29</f>
        <v>0</v>
      </c>
      <c r="Y25" s="114"/>
      <c r="Z25" s="115" t="n">
        <f aca="false">X25</f>
        <v>0</v>
      </c>
      <c r="AA25" s="116" t="n">
        <f aca="false">Z25</f>
        <v>0</v>
      </c>
      <c r="AB25" s="117" t="n">
        <f aca="false">IFERROR(X25/P25,0)</f>
        <v>0</v>
      </c>
      <c r="AC25" s="118"/>
    </row>
    <row r="26" customFormat="false" ht="15.6" hidden="false" customHeight="false" outlineLevel="0" collapsed="false">
      <c r="A26" s="98" t="s">
        <v>60</v>
      </c>
      <c r="B26" s="119" t="s">
        <v>61</v>
      </c>
      <c r="C26" s="120" t="s">
        <v>43</v>
      </c>
      <c r="D26" s="121" t="n">
        <v>118614.94</v>
      </c>
      <c r="E26" s="122"/>
      <c r="F26" s="123"/>
      <c r="G26" s="124" t="n">
        <f aca="false">D26</f>
        <v>118614.94</v>
      </c>
      <c r="H26" s="125" t="n">
        <v>112895.273</v>
      </c>
      <c r="I26" s="122"/>
      <c r="J26" s="123"/>
      <c r="K26" s="124" t="n">
        <f aca="false">H26</f>
        <v>112895.273</v>
      </c>
      <c r="L26" s="125"/>
      <c r="M26" s="122"/>
      <c r="N26" s="123"/>
      <c r="O26" s="124" t="n">
        <f aca="false">L26</f>
        <v>0</v>
      </c>
      <c r="P26" s="125" t="n">
        <v>112008.3</v>
      </c>
      <c r="Q26" s="122"/>
      <c r="R26" s="123"/>
      <c r="S26" s="124" t="n">
        <f aca="false">P26</f>
        <v>112008.3</v>
      </c>
      <c r="T26" s="125" t="n">
        <v>113739.991</v>
      </c>
      <c r="U26" s="122"/>
      <c r="V26" s="123"/>
      <c r="W26" s="124" t="n">
        <f aca="false">T26</f>
        <v>113739.991</v>
      </c>
      <c r="X26" s="125"/>
      <c r="Y26" s="122"/>
      <c r="Z26" s="123"/>
      <c r="AA26" s="124" t="n">
        <f aca="false">X26</f>
        <v>0</v>
      </c>
      <c r="AB26" s="38" t="n">
        <f aca="false">IFERROR(X26/P26,0)</f>
        <v>0</v>
      </c>
      <c r="AC26" s="103"/>
    </row>
    <row r="27" customFormat="false" ht="15.6" hidden="false" customHeight="false" outlineLevel="0" collapsed="false">
      <c r="A27" s="98" t="s">
        <v>62</v>
      </c>
      <c r="B27" s="126" t="s">
        <v>63</v>
      </c>
      <c r="C27" s="81" t="s">
        <v>43</v>
      </c>
      <c r="D27" s="121"/>
      <c r="E27" s="127"/>
      <c r="F27" s="128"/>
      <c r="G27" s="129" t="n">
        <f aca="false">D27</f>
        <v>0</v>
      </c>
      <c r="H27" s="125"/>
      <c r="I27" s="127"/>
      <c r="J27" s="128"/>
      <c r="K27" s="129" t="n">
        <f aca="false">H27</f>
        <v>0</v>
      </c>
      <c r="L27" s="125"/>
      <c r="M27" s="127"/>
      <c r="N27" s="128"/>
      <c r="O27" s="129" t="n">
        <f aca="false">L27</f>
        <v>0</v>
      </c>
      <c r="P27" s="125"/>
      <c r="Q27" s="127"/>
      <c r="R27" s="128"/>
      <c r="S27" s="129" t="n">
        <f aca="false">P27</f>
        <v>0</v>
      </c>
      <c r="T27" s="125"/>
      <c r="U27" s="127"/>
      <c r="V27" s="128"/>
      <c r="W27" s="129" t="n">
        <f aca="false">T27</f>
        <v>0</v>
      </c>
      <c r="X27" s="125"/>
      <c r="Y27" s="127"/>
      <c r="Z27" s="128"/>
      <c r="AA27" s="129" t="n">
        <f aca="false">X27</f>
        <v>0</v>
      </c>
      <c r="AB27" s="38" t="n">
        <f aca="false">IFERROR(X27/P27,0)</f>
        <v>0</v>
      </c>
      <c r="AC27" s="39"/>
    </row>
    <row r="28" customFormat="false" ht="15.6" hidden="false" customHeight="false" outlineLevel="0" collapsed="false">
      <c r="A28" s="98" t="s">
        <v>64</v>
      </c>
      <c r="B28" s="126" t="s">
        <v>65</v>
      </c>
      <c r="C28" s="81" t="s">
        <v>43</v>
      </c>
      <c r="D28" s="121"/>
      <c r="E28" s="127"/>
      <c r="F28" s="128"/>
      <c r="G28" s="129" t="n">
        <f aca="false">D28</f>
        <v>0</v>
      </c>
      <c r="H28" s="125"/>
      <c r="I28" s="127"/>
      <c r="J28" s="128"/>
      <c r="K28" s="129" t="n">
        <f aca="false">H28</f>
        <v>0</v>
      </c>
      <c r="L28" s="125"/>
      <c r="M28" s="127"/>
      <c r="N28" s="128"/>
      <c r="O28" s="129" t="n">
        <f aca="false">L28</f>
        <v>0</v>
      </c>
      <c r="P28" s="125"/>
      <c r="Q28" s="127"/>
      <c r="R28" s="128"/>
      <c r="S28" s="129" t="n">
        <f aca="false">P28</f>
        <v>0</v>
      </c>
      <c r="T28" s="125"/>
      <c r="U28" s="127"/>
      <c r="V28" s="128"/>
      <c r="W28" s="129" t="n">
        <f aca="false">T28</f>
        <v>0</v>
      </c>
      <c r="X28" s="125"/>
      <c r="Y28" s="127"/>
      <c r="Z28" s="128"/>
      <c r="AA28" s="129" t="n">
        <f aca="false">X28</f>
        <v>0</v>
      </c>
      <c r="AB28" s="38" t="n">
        <f aca="false">IFERROR(X28/P28,0)</f>
        <v>0</v>
      </c>
      <c r="AC28" s="39"/>
    </row>
    <row r="29" customFormat="false" ht="15.6" hidden="false" customHeight="false" outlineLevel="0" collapsed="false">
      <c r="A29" s="98" t="s">
        <v>66</v>
      </c>
      <c r="B29" s="130" t="s">
        <v>67</v>
      </c>
      <c r="C29" s="131" t="s">
        <v>43</v>
      </c>
      <c r="D29" s="121" t="n">
        <v>46610.55</v>
      </c>
      <c r="E29" s="132"/>
      <c r="F29" s="133"/>
      <c r="G29" s="134" t="n">
        <f aca="false">D29</f>
        <v>46610.55</v>
      </c>
      <c r="H29" s="125" t="n">
        <v>45737.068</v>
      </c>
      <c r="I29" s="132"/>
      <c r="J29" s="133"/>
      <c r="K29" s="134" t="n">
        <f aca="false">H29</f>
        <v>45737.068</v>
      </c>
      <c r="L29" s="125"/>
      <c r="M29" s="132"/>
      <c r="N29" s="133"/>
      <c r="O29" s="134" t="n">
        <f aca="false">L29</f>
        <v>0</v>
      </c>
      <c r="P29" s="125" t="n">
        <v>44984.3</v>
      </c>
      <c r="Q29" s="132"/>
      <c r="R29" s="133"/>
      <c r="S29" s="134" t="n">
        <f aca="false">P29</f>
        <v>44984.3</v>
      </c>
      <c r="T29" s="125" t="n">
        <v>44895.222</v>
      </c>
      <c r="U29" s="132"/>
      <c r="V29" s="133"/>
      <c r="W29" s="134" t="n">
        <f aca="false">T29</f>
        <v>44895.222</v>
      </c>
      <c r="X29" s="125"/>
      <c r="Y29" s="132"/>
      <c r="Z29" s="133"/>
      <c r="AA29" s="134" t="n">
        <f aca="false">X29</f>
        <v>0</v>
      </c>
      <c r="AB29" s="38" t="n">
        <f aca="false">IFERROR(X29/P29,0)</f>
        <v>0</v>
      </c>
      <c r="AC29" s="135"/>
    </row>
    <row r="30" customFormat="false" ht="15.75" hidden="false" customHeight="false" outlineLevel="0" collapsed="false">
      <c r="A30" s="17" t="s">
        <v>68</v>
      </c>
      <c r="B30" s="136" t="s">
        <v>69</v>
      </c>
      <c r="C30" s="137"/>
      <c r="D30" s="138"/>
      <c r="E30" s="139"/>
      <c r="F30" s="140"/>
      <c r="G30" s="141"/>
      <c r="H30" s="138"/>
      <c r="I30" s="139"/>
      <c r="J30" s="140"/>
      <c r="K30" s="141"/>
      <c r="L30" s="138"/>
      <c r="M30" s="139"/>
      <c r="N30" s="140"/>
      <c r="O30" s="141"/>
      <c r="P30" s="138"/>
      <c r="Q30" s="139"/>
      <c r="R30" s="140"/>
      <c r="S30" s="141"/>
      <c r="T30" s="138"/>
      <c r="U30" s="139"/>
      <c r="V30" s="140"/>
      <c r="W30" s="141"/>
      <c r="X30" s="138"/>
      <c r="Y30" s="139"/>
      <c r="Z30" s="140"/>
      <c r="AA30" s="141"/>
      <c r="AB30" s="142"/>
      <c r="AC30" s="143"/>
    </row>
    <row r="31" customFormat="false" ht="15" hidden="false" customHeight="false" outlineLevel="0" collapsed="false">
      <c r="A31" s="98" t="s">
        <v>70</v>
      </c>
      <c r="B31" s="144" t="s">
        <v>71</v>
      </c>
      <c r="C31" s="145" t="s">
        <v>38</v>
      </c>
      <c r="D31" s="146"/>
      <c r="E31" s="147" t="n">
        <v>0.072</v>
      </c>
      <c r="F31" s="148"/>
      <c r="G31" s="149"/>
      <c r="H31" s="150" t="n">
        <v>0.08</v>
      </c>
      <c r="I31" s="151" t="n">
        <f aca="false">H31</f>
        <v>0.08</v>
      </c>
      <c r="J31" s="148" t="n">
        <f aca="false">H31</f>
        <v>0.08</v>
      </c>
      <c r="K31" s="149" t="n">
        <f aca="false">H31</f>
        <v>0.08</v>
      </c>
      <c r="L31" s="152" t="n">
        <v>0.08</v>
      </c>
      <c r="M31" s="151" t="n">
        <f aca="false">L31</f>
        <v>0.08</v>
      </c>
      <c r="N31" s="148" t="n">
        <f aca="false">L31</f>
        <v>0.08</v>
      </c>
      <c r="O31" s="149" t="n">
        <f aca="false">L31</f>
        <v>0.08</v>
      </c>
      <c r="P31" s="152" t="n">
        <v>0.058</v>
      </c>
      <c r="Q31" s="151" t="n">
        <f aca="false">P31</f>
        <v>0.058</v>
      </c>
      <c r="R31" s="148" t="n">
        <f aca="false">P31</f>
        <v>0.058</v>
      </c>
      <c r="S31" s="149" t="n">
        <f aca="false">P31</f>
        <v>0.058</v>
      </c>
      <c r="T31" s="150" t="n">
        <v>0.043</v>
      </c>
      <c r="U31" s="153" t="n">
        <f aca="false">T31</f>
        <v>0.043</v>
      </c>
      <c r="V31" s="154" t="n">
        <f aca="false">T31</f>
        <v>0.043</v>
      </c>
      <c r="W31" s="155" t="n">
        <f aca="false">T31</f>
        <v>0.043</v>
      </c>
      <c r="X31" s="150" t="n">
        <v>0</v>
      </c>
      <c r="Y31" s="153" t="n">
        <f aca="false">X31</f>
        <v>0</v>
      </c>
      <c r="Z31" s="154" t="n">
        <f aca="false">X31</f>
        <v>0</v>
      </c>
      <c r="AA31" s="155" t="n">
        <f aca="false">X31</f>
        <v>0</v>
      </c>
      <c r="AB31" s="156"/>
      <c r="AC31" s="71"/>
    </row>
    <row r="32" customFormat="false" ht="35.25" hidden="false" customHeight="true" outlineLevel="0" collapsed="false">
      <c r="A32" s="98" t="s">
        <v>72</v>
      </c>
      <c r="B32" s="157" t="s">
        <v>73</v>
      </c>
      <c r="C32" s="158" t="s">
        <v>38</v>
      </c>
      <c r="D32" s="159"/>
      <c r="E32" s="160"/>
      <c r="F32" s="161"/>
      <c r="G32" s="162"/>
      <c r="H32" s="163"/>
      <c r="I32" s="164"/>
      <c r="J32" s="165"/>
      <c r="K32" s="162"/>
      <c r="L32" s="163"/>
      <c r="M32" s="164"/>
      <c r="N32" s="165"/>
      <c r="O32" s="162"/>
      <c r="P32" s="163"/>
      <c r="Q32" s="166" t="n">
        <v>0.04</v>
      </c>
      <c r="R32" s="161" t="n">
        <v>0</v>
      </c>
      <c r="S32" s="162"/>
      <c r="T32" s="163"/>
      <c r="U32" s="166" t="n">
        <v>0.04</v>
      </c>
      <c r="V32" s="166" t="n">
        <v>0</v>
      </c>
      <c r="W32" s="167"/>
      <c r="X32" s="163"/>
      <c r="Y32" s="166" t="n">
        <v>0.04</v>
      </c>
      <c r="Z32" s="166" t="n">
        <v>0</v>
      </c>
      <c r="AA32" s="167"/>
      <c r="AB32" s="168"/>
      <c r="AC32" s="39"/>
    </row>
    <row r="33" customFormat="false" ht="20.25" hidden="false" customHeight="true" outlineLevel="0" collapsed="false">
      <c r="A33" s="98" t="s">
        <v>74</v>
      </c>
      <c r="B33" s="169" t="s">
        <v>75</v>
      </c>
      <c r="C33" s="158" t="s">
        <v>76</v>
      </c>
      <c r="D33" s="170"/>
      <c r="E33" s="160"/>
      <c r="F33" s="161"/>
      <c r="G33" s="162"/>
      <c r="H33" s="163"/>
      <c r="I33" s="166"/>
      <c r="J33" s="161"/>
      <c r="K33" s="162"/>
      <c r="L33" s="163"/>
      <c r="M33" s="166"/>
      <c r="N33" s="161"/>
      <c r="O33" s="162"/>
      <c r="P33" s="163"/>
      <c r="Q33" s="166"/>
      <c r="R33" s="171" t="n">
        <f aca="false">SUM(R34:R37)</f>
        <v>0</v>
      </c>
      <c r="S33" s="162"/>
      <c r="T33" s="163"/>
      <c r="U33" s="172"/>
      <c r="V33" s="171" t="n">
        <f aca="false">SUM(V34:V37)</f>
        <v>0</v>
      </c>
      <c r="W33" s="167"/>
      <c r="X33" s="163"/>
      <c r="Y33" s="172"/>
      <c r="Z33" s="171" t="n">
        <f aca="false">SUM(Z34:Z37)</f>
        <v>0</v>
      </c>
      <c r="AA33" s="167"/>
      <c r="AB33" s="173" t="n">
        <f aca="false">IFERROR(X33/P33,0)</f>
        <v>0</v>
      </c>
      <c r="AC33" s="39"/>
    </row>
    <row r="34" customFormat="false" ht="20.25" hidden="false" customHeight="true" outlineLevel="0" collapsed="false">
      <c r="A34" s="98"/>
      <c r="B34" s="174" t="s">
        <v>77</v>
      </c>
      <c r="C34" s="158" t="s">
        <v>76</v>
      </c>
      <c r="D34" s="170"/>
      <c r="E34" s="160"/>
      <c r="F34" s="161"/>
      <c r="G34" s="162"/>
      <c r="H34" s="163"/>
      <c r="I34" s="166"/>
      <c r="J34" s="161"/>
      <c r="K34" s="162"/>
      <c r="L34" s="163"/>
      <c r="M34" s="166"/>
      <c r="N34" s="161"/>
      <c r="O34" s="162"/>
      <c r="P34" s="163"/>
      <c r="Q34" s="166"/>
      <c r="R34" s="175"/>
      <c r="S34" s="162"/>
      <c r="T34" s="163"/>
      <c r="U34" s="172"/>
      <c r="V34" s="175"/>
      <c r="W34" s="167"/>
      <c r="X34" s="163"/>
      <c r="Y34" s="172"/>
      <c r="Z34" s="175"/>
      <c r="AA34" s="167"/>
      <c r="AB34" s="173" t="n">
        <f aca="false">IFERROR(X34/P34,0)</f>
        <v>0</v>
      </c>
      <c r="AC34" s="39"/>
    </row>
    <row r="35" customFormat="false" ht="20.25" hidden="false" customHeight="true" outlineLevel="0" collapsed="false">
      <c r="A35" s="98"/>
      <c r="B35" s="174" t="s">
        <v>78</v>
      </c>
      <c r="C35" s="158" t="s">
        <v>76</v>
      </c>
      <c r="D35" s="170"/>
      <c r="E35" s="160"/>
      <c r="F35" s="161"/>
      <c r="G35" s="162"/>
      <c r="H35" s="163"/>
      <c r="I35" s="166"/>
      <c r="J35" s="161"/>
      <c r="K35" s="162"/>
      <c r="L35" s="163"/>
      <c r="M35" s="166"/>
      <c r="N35" s="161"/>
      <c r="O35" s="162"/>
      <c r="P35" s="163"/>
      <c r="Q35" s="166"/>
      <c r="R35" s="175"/>
      <c r="S35" s="162"/>
      <c r="T35" s="163"/>
      <c r="U35" s="172"/>
      <c r="V35" s="175"/>
      <c r="W35" s="167"/>
      <c r="X35" s="163"/>
      <c r="Y35" s="172"/>
      <c r="Z35" s="175"/>
      <c r="AA35" s="167"/>
      <c r="AB35" s="173" t="n">
        <f aca="false">IFERROR(X35/P35,0)</f>
        <v>0</v>
      </c>
      <c r="AC35" s="39"/>
    </row>
    <row r="36" customFormat="false" ht="20.25" hidden="false" customHeight="true" outlineLevel="0" collapsed="false">
      <c r="A36" s="98"/>
      <c r="B36" s="174" t="s">
        <v>79</v>
      </c>
      <c r="C36" s="158" t="s">
        <v>76</v>
      </c>
      <c r="D36" s="170"/>
      <c r="E36" s="160"/>
      <c r="F36" s="161"/>
      <c r="G36" s="162"/>
      <c r="H36" s="163"/>
      <c r="I36" s="166"/>
      <c r="J36" s="161"/>
      <c r="K36" s="162"/>
      <c r="L36" s="163"/>
      <c r="M36" s="166"/>
      <c r="N36" s="161"/>
      <c r="O36" s="162"/>
      <c r="P36" s="163"/>
      <c r="Q36" s="166"/>
      <c r="R36" s="175"/>
      <c r="S36" s="162"/>
      <c r="T36" s="163"/>
      <c r="U36" s="172"/>
      <c r="V36" s="175"/>
      <c r="W36" s="167"/>
      <c r="X36" s="163"/>
      <c r="Y36" s="172"/>
      <c r="Z36" s="175"/>
      <c r="AA36" s="167"/>
      <c r="AB36" s="173" t="n">
        <f aca="false">IFERROR(X36/P36,0)</f>
        <v>0</v>
      </c>
      <c r="AC36" s="39"/>
    </row>
    <row r="37" customFormat="false" ht="20.25" hidden="false" customHeight="true" outlineLevel="0" collapsed="false">
      <c r="A37" s="98"/>
      <c r="B37" s="174" t="s">
        <v>80</v>
      </c>
      <c r="C37" s="158" t="s">
        <v>76</v>
      </c>
      <c r="D37" s="170"/>
      <c r="E37" s="160"/>
      <c r="F37" s="161"/>
      <c r="G37" s="162"/>
      <c r="H37" s="163"/>
      <c r="I37" s="166"/>
      <c r="J37" s="161"/>
      <c r="K37" s="162"/>
      <c r="L37" s="163"/>
      <c r="M37" s="166"/>
      <c r="N37" s="161"/>
      <c r="O37" s="162"/>
      <c r="P37" s="163"/>
      <c r="Q37" s="166"/>
      <c r="R37" s="175"/>
      <c r="S37" s="162"/>
      <c r="T37" s="163"/>
      <c r="U37" s="172"/>
      <c r="V37" s="175"/>
      <c r="W37" s="167"/>
      <c r="X37" s="163"/>
      <c r="Y37" s="172"/>
      <c r="Z37" s="175"/>
      <c r="AA37" s="167"/>
      <c r="AB37" s="173" t="n">
        <f aca="false">IFERROR(X37/P37,0)</f>
        <v>0</v>
      </c>
      <c r="AC37" s="39"/>
    </row>
    <row r="38" customFormat="false" ht="19.5" hidden="false" customHeight="true" outlineLevel="0" collapsed="false">
      <c r="A38" s="98" t="s">
        <v>81</v>
      </c>
      <c r="B38" s="176" t="s">
        <v>82</v>
      </c>
      <c r="C38" s="158" t="s">
        <v>38</v>
      </c>
      <c r="D38" s="170"/>
      <c r="E38" s="160"/>
      <c r="F38" s="161"/>
      <c r="G38" s="162"/>
      <c r="H38" s="163"/>
      <c r="I38" s="166"/>
      <c r="J38" s="161"/>
      <c r="K38" s="162"/>
      <c r="L38" s="163"/>
      <c r="M38" s="166"/>
      <c r="N38" s="161"/>
      <c r="O38" s="162"/>
      <c r="P38" s="163"/>
      <c r="Q38" s="166"/>
      <c r="R38" s="161"/>
      <c r="S38" s="162"/>
      <c r="T38" s="163"/>
      <c r="U38" s="172"/>
      <c r="V38" s="161" t="n">
        <f aca="false">IF(R33=0,0,(V33-R33)/R33)</f>
        <v>0</v>
      </c>
      <c r="W38" s="167"/>
      <c r="X38" s="163"/>
      <c r="Y38" s="172"/>
      <c r="Z38" s="161" t="n">
        <f aca="false">IF(R33=0,0,(Z33-R33)/R33)</f>
        <v>0</v>
      </c>
      <c r="AA38" s="167"/>
      <c r="AB38" s="168"/>
      <c r="AC38" s="39"/>
    </row>
    <row r="39" customFormat="false" ht="34.5" hidden="false" customHeight="true" outlineLevel="0" collapsed="false">
      <c r="A39" s="98" t="s">
        <v>83</v>
      </c>
      <c r="B39" s="177" t="s">
        <v>84</v>
      </c>
      <c r="C39" s="178"/>
      <c r="D39" s="179" t="n">
        <f aca="false">F39</f>
        <v>0.75</v>
      </c>
      <c r="E39" s="180"/>
      <c r="F39" s="181" t="n">
        <v>0.75</v>
      </c>
      <c r="G39" s="182"/>
      <c r="H39" s="179" t="n">
        <f aca="false">J39</f>
        <v>0.75</v>
      </c>
      <c r="I39" s="180"/>
      <c r="J39" s="181" t="n">
        <v>0.75</v>
      </c>
      <c r="K39" s="182"/>
      <c r="L39" s="183"/>
      <c r="M39" s="180"/>
      <c r="N39" s="181" t="n">
        <v>0.75</v>
      </c>
      <c r="O39" s="182"/>
      <c r="P39" s="183"/>
      <c r="Q39" s="180"/>
      <c r="R39" s="181" t="n">
        <v>0.75</v>
      </c>
      <c r="S39" s="182"/>
      <c r="T39" s="183"/>
      <c r="U39" s="184"/>
      <c r="V39" s="185" t="n">
        <v>0.75</v>
      </c>
      <c r="W39" s="186"/>
      <c r="X39" s="183"/>
      <c r="Y39" s="184"/>
      <c r="Z39" s="185" t="n">
        <v>0.75</v>
      </c>
      <c r="AA39" s="186"/>
      <c r="AB39" s="187"/>
      <c r="AC39" s="188"/>
    </row>
    <row r="40" customFormat="false" ht="15.25" hidden="false" customHeight="false" outlineLevel="0" collapsed="false">
      <c r="A40" s="189" t="s">
        <v>74</v>
      </c>
      <c r="B40" s="190" t="s">
        <v>85</v>
      </c>
      <c r="C40" s="191"/>
      <c r="D40" s="192"/>
      <c r="E40" s="193"/>
      <c r="F40" s="194"/>
      <c r="G40" s="195"/>
      <c r="H40" s="196" t="n">
        <f aca="false">(1-H32/100%)*(1+H31)</f>
        <v>1.08</v>
      </c>
      <c r="I40" s="197"/>
      <c r="J40" s="194"/>
      <c r="K40" s="195"/>
      <c r="L40" s="196" t="n">
        <f aca="false">(1-L32/100%)*(1+L31)</f>
        <v>1.08</v>
      </c>
      <c r="M40" s="197"/>
      <c r="N40" s="194"/>
      <c r="O40" s="195"/>
      <c r="P40" s="196" t="n">
        <f aca="false">(1-P32/100%)*(1+P31)</f>
        <v>1.058</v>
      </c>
      <c r="Q40" s="197"/>
      <c r="R40" s="194"/>
      <c r="S40" s="195"/>
      <c r="T40" s="196" t="n">
        <f aca="false">(1-T32/100%)*(1+T31)</f>
        <v>1.043</v>
      </c>
      <c r="U40" s="198" t="n">
        <f aca="false">(1-U32/100%)*(1+U31)</f>
        <v>1.00128</v>
      </c>
      <c r="V40" s="198" t="n">
        <f aca="false">(V31+1)*(1+V39*V38)*(1-V32)</f>
        <v>1.043</v>
      </c>
      <c r="W40" s="195"/>
      <c r="X40" s="196"/>
      <c r="Y40" s="198" t="n">
        <f aca="false">(1-Y32/100%)*(1+Y31)</f>
        <v>0.96</v>
      </c>
      <c r="Z40" s="198" t="n">
        <f aca="false">(Z31+1)*(1+Z39*Z38)*(1-Z32)</f>
        <v>1</v>
      </c>
      <c r="AA40" s="195"/>
      <c r="AB40" s="199"/>
      <c r="AC40" s="200"/>
    </row>
    <row r="41" customFormat="false" ht="15.75" hidden="false" customHeight="false" outlineLevel="0" collapsed="false">
      <c r="A41" s="17" t="s">
        <v>86</v>
      </c>
      <c r="B41" s="137" t="s">
        <v>87</v>
      </c>
      <c r="C41" s="201"/>
      <c r="D41" s="201"/>
      <c r="E41" s="201"/>
      <c r="F41" s="201"/>
      <c r="G41" s="201"/>
      <c r="H41" s="201"/>
      <c r="I41" s="201"/>
      <c r="J41" s="201"/>
      <c r="K41" s="201"/>
      <c r="L41" s="201"/>
      <c r="M41" s="201"/>
      <c r="N41" s="201"/>
      <c r="O41" s="201"/>
      <c r="P41" s="201"/>
      <c r="Q41" s="201"/>
      <c r="R41" s="201"/>
      <c r="S41" s="201"/>
      <c r="T41" s="201"/>
      <c r="U41" s="201"/>
      <c r="V41" s="201"/>
      <c r="W41" s="201"/>
      <c r="X41" s="201"/>
      <c r="Y41" s="201"/>
      <c r="Z41" s="201"/>
      <c r="AA41" s="201"/>
      <c r="AB41" s="202"/>
      <c r="AC41" s="203"/>
    </row>
    <row r="42" customFormat="false" ht="15" hidden="false" customHeight="false" outlineLevel="0" collapsed="false">
      <c r="A42" s="204" t="s">
        <v>88</v>
      </c>
      <c r="B42" s="205" t="s">
        <v>89</v>
      </c>
      <c r="C42" s="206" t="s">
        <v>90</v>
      </c>
      <c r="D42" s="207" t="n">
        <f aca="false">D43+D48+D53+D57</f>
        <v>214287.853290151</v>
      </c>
      <c r="E42" s="208" t="n">
        <f aca="false">D42</f>
        <v>214287.853290151</v>
      </c>
      <c r="F42" s="209"/>
      <c r="G42" s="210"/>
      <c r="H42" s="207" t="n">
        <f aca="false">H43+H48+H53+H57</f>
        <v>245378.5384</v>
      </c>
      <c r="I42" s="208" t="n">
        <f aca="false">H42</f>
        <v>245378.5384</v>
      </c>
      <c r="J42" s="209"/>
      <c r="K42" s="210"/>
      <c r="L42" s="207" t="n">
        <f aca="false">L43+L48+L53+L57</f>
        <v>0</v>
      </c>
      <c r="M42" s="208" t="n">
        <f aca="false">L42</f>
        <v>0</v>
      </c>
      <c r="N42" s="209"/>
      <c r="O42" s="210"/>
      <c r="P42" s="207" t="n">
        <f aca="false">P43+P48+P53+P57</f>
        <v>253613.740434362</v>
      </c>
      <c r="Q42" s="208" t="n">
        <f aca="false">P42</f>
        <v>253613.740434362</v>
      </c>
      <c r="R42" s="209"/>
      <c r="S42" s="210"/>
      <c r="T42" s="207" t="n">
        <f aca="false">T43+T48+T53+T57</f>
        <v>301510.636010195</v>
      </c>
      <c r="U42" s="208" t="n">
        <f aca="false">T42</f>
        <v>301510.636010195</v>
      </c>
      <c r="V42" s="209"/>
      <c r="W42" s="210"/>
      <c r="X42" s="207" t="n">
        <f aca="false">X43+X48+X53+X57</f>
        <v>0</v>
      </c>
      <c r="Y42" s="208" t="n">
        <f aca="false">X42</f>
        <v>0</v>
      </c>
      <c r="Z42" s="209"/>
      <c r="AA42" s="210"/>
      <c r="AB42" s="211" t="n">
        <f aca="false">IFERROR(X42/P42,0)</f>
        <v>0</v>
      </c>
      <c r="AC42" s="212"/>
      <c r="AD42" s="94"/>
      <c r="AE42" s="94"/>
      <c r="AF42" s="94"/>
      <c r="AG42" s="94"/>
    </row>
    <row r="43" customFormat="false" ht="15" hidden="false" customHeight="false" outlineLevel="0" collapsed="false">
      <c r="A43" s="213" t="s">
        <v>91</v>
      </c>
      <c r="B43" s="214" t="s">
        <v>92</v>
      </c>
      <c r="C43" s="215" t="s">
        <v>90</v>
      </c>
      <c r="D43" s="216" t="n">
        <f aca="false">D45*D46/1000</f>
        <v>211790.380620802</v>
      </c>
      <c r="E43" s="217" t="n">
        <f aca="false">D43</f>
        <v>211790.380620802</v>
      </c>
      <c r="F43" s="218"/>
      <c r="G43" s="219"/>
      <c r="H43" s="216" t="n">
        <f aca="false">H45*H46/1000</f>
        <v>243805.12302</v>
      </c>
      <c r="I43" s="217" t="n">
        <f aca="false">H43</f>
        <v>243805.12302</v>
      </c>
      <c r="J43" s="218"/>
      <c r="K43" s="219"/>
      <c r="L43" s="216" t="n">
        <f aca="false">L45*L46/1000</f>
        <v>0</v>
      </c>
      <c r="M43" s="217" t="n">
        <f aca="false">L43</f>
        <v>0</v>
      </c>
      <c r="N43" s="218"/>
      <c r="O43" s="219"/>
      <c r="P43" s="216" t="n">
        <f aca="false">P45*P46/1000</f>
        <v>251532.413310404</v>
      </c>
      <c r="Q43" s="217" t="n">
        <f aca="false">P43</f>
        <v>251532.413310404</v>
      </c>
      <c r="R43" s="218"/>
      <c r="S43" s="219"/>
      <c r="T43" s="216" t="n">
        <f aca="false">T45*T46/1000</f>
        <v>299774.381578857</v>
      </c>
      <c r="U43" s="217" t="n">
        <f aca="false">T43</f>
        <v>299774.381578857</v>
      </c>
      <c r="V43" s="218"/>
      <c r="W43" s="219"/>
      <c r="X43" s="216" t="n">
        <f aca="false">X45*X46/1000</f>
        <v>0</v>
      </c>
      <c r="Y43" s="217" t="n">
        <f aca="false">X43</f>
        <v>0</v>
      </c>
      <c r="Z43" s="218"/>
      <c r="AA43" s="219"/>
      <c r="AB43" s="220" t="n">
        <f aca="false">IFERROR(X43/P43,0)</f>
        <v>0</v>
      </c>
      <c r="AC43" s="221"/>
      <c r="AD43" s="94"/>
      <c r="AE43" s="94"/>
      <c r="AF43" s="94"/>
      <c r="AG43" s="94"/>
    </row>
    <row r="44" customFormat="false" ht="15" hidden="false" customHeight="false" outlineLevel="0" collapsed="false">
      <c r="A44" s="222" t="s">
        <v>93</v>
      </c>
      <c r="B44" s="223" t="s">
        <v>94</v>
      </c>
      <c r="C44" s="120" t="s">
        <v>43</v>
      </c>
      <c r="D44" s="224" t="n">
        <v>165225.49</v>
      </c>
      <c r="E44" s="225" t="n">
        <f aca="false">D44</f>
        <v>165225.49</v>
      </c>
      <c r="F44" s="226"/>
      <c r="G44" s="227"/>
      <c r="H44" s="224" t="n">
        <f aca="false">H20</f>
        <v>160471.531</v>
      </c>
      <c r="I44" s="225" t="n">
        <f aca="false">H44</f>
        <v>160471.531</v>
      </c>
      <c r="J44" s="226"/>
      <c r="K44" s="227"/>
      <c r="L44" s="224"/>
      <c r="M44" s="225" t="n">
        <f aca="false">L44</f>
        <v>0</v>
      </c>
      <c r="N44" s="226"/>
      <c r="O44" s="227"/>
      <c r="P44" s="224" t="n">
        <v>156992.6</v>
      </c>
      <c r="Q44" s="225" t="n">
        <f aca="false">P44</f>
        <v>156992.6</v>
      </c>
      <c r="R44" s="226"/>
      <c r="S44" s="227"/>
      <c r="T44" s="224" t="n">
        <v>160627.649</v>
      </c>
      <c r="U44" s="225" t="n">
        <f aca="false">T44</f>
        <v>160627.649</v>
      </c>
      <c r="V44" s="226"/>
      <c r="W44" s="227"/>
      <c r="X44" s="224" t="n">
        <v>0</v>
      </c>
      <c r="Y44" s="225" t="n">
        <f aca="false">X44</f>
        <v>0</v>
      </c>
      <c r="Z44" s="226"/>
      <c r="AA44" s="227"/>
      <c r="AB44" s="173" t="n">
        <f aca="false">IFERROR(X44/P44,0)</f>
        <v>0</v>
      </c>
      <c r="AC44" s="228"/>
    </row>
    <row r="45" customFormat="false" ht="15.6" hidden="false" customHeight="false" outlineLevel="0" collapsed="false">
      <c r="A45" s="222" t="s">
        <v>95</v>
      </c>
      <c r="B45" s="223" t="s">
        <v>96</v>
      </c>
      <c r="C45" s="229" t="s">
        <v>97</v>
      </c>
      <c r="D45" s="224" t="n">
        <v>76193.8078221239</v>
      </c>
      <c r="E45" s="225" t="n">
        <f aca="false">D45</f>
        <v>76193.8078221239</v>
      </c>
      <c r="F45" s="226"/>
      <c r="G45" s="227"/>
      <c r="H45" s="224" t="n">
        <v>76422.047</v>
      </c>
      <c r="I45" s="225" t="n">
        <f aca="false">H45</f>
        <v>76422.047</v>
      </c>
      <c r="J45" s="226"/>
      <c r="K45" s="227"/>
      <c r="L45" s="224"/>
      <c r="M45" s="225" t="n">
        <f aca="false">L45</f>
        <v>0</v>
      </c>
      <c r="N45" s="226"/>
      <c r="O45" s="227"/>
      <c r="P45" s="224" t="n">
        <v>72397.2069557522</v>
      </c>
      <c r="Q45" s="225" t="n">
        <f aca="false">P45</f>
        <v>72397.2069557522</v>
      </c>
      <c r="R45" s="226"/>
      <c r="S45" s="227"/>
      <c r="T45" s="224" t="n">
        <v>85153.0834698729</v>
      </c>
      <c r="U45" s="225" t="n">
        <f aca="false">T45</f>
        <v>85153.0834698729</v>
      </c>
      <c r="V45" s="226"/>
      <c r="W45" s="227"/>
      <c r="X45" s="230" t="n">
        <v>0</v>
      </c>
      <c r="Y45" s="225" t="n">
        <f aca="false">X45</f>
        <v>0</v>
      </c>
      <c r="Z45" s="226"/>
      <c r="AA45" s="227"/>
      <c r="AB45" s="173" t="n">
        <f aca="false">IFERROR(X45/P45,0)</f>
        <v>0</v>
      </c>
      <c r="AC45" s="228"/>
    </row>
    <row r="46" customFormat="false" ht="15.6" hidden="false" customHeight="false" outlineLevel="0" collapsed="false">
      <c r="A46" s="222" t="s">
        <v>98</v>
      </c>
      <c r="B46" s="223" t="s">
        <v>99</v>
      </c>
      <c r="C46" s="229" t="s">
        <v>100</v>
      </c>
      <c r="D46" s="224" t="n">
        <v>2779.62719904</v>
      </c>
      <c r="E46" s="225" t="n">
        <f aca="false">D46</f>
        <v>2779.62719904</v>
      </c>
      <c r="F46" s="226"/>
      <c r="G46" s="227"/>
      <c r="H46" s="224" t="n">
        <v>3190.2459118898</v>
      </c>
      <c r="I46" s="225" t="n">
        <f aca="false">H46</f>
        <v>3190.2459118898</v>
      </c>
      <c r="J46" s="226"/>
      <c r="K46" s="227"/>
      <c r="L46" s="224"/>
      <c r="M46" s="225" t="n">
        <f aca="false">L46</f>
        <v>0</v>
      </c>
      <c r="N46" s="226"/>
      <c r="O46" s="227"/>
      <c r="P46" s="224" t="n">
        <v>3474.33863662912</v>
      </c>
      <c r="Q46" s="225" t="n">
        <f aca="false">P46</f>
        <v>3474.33863662912</v>
      </c>
      <c r="R46" s="226"/>
      <c r="S46" s="227"/>
      <c r="T46" s="224" t="n">
        <v>3520.41722229492</v>
      </c>
      <c r="U46" s="225" t="n">
        <f aca="false">T46</f>
        <v>3520.41722229492</v>
      </c>
      <c r="V46" s="226"/>
      <c r="W46" s="227"/>
      <c r="X46" s="224" t="n">
        <v>0</v>
      </c>
      <c r="Y46" s="225" t="n">
        <f aca="false">X46</f>
        <v>0</v>
      </c>
      <c r="Z46" s="226"/>
      <c r="AA46" s="227"/>
      <c r="AB46" s="173" t="n">
        <f aca="false">IFERROR(X46/P46,0)</f>
        <v>0</v>
      </c>
      <c r="AC46" s="39"/>
    </row>
    <row r="47" customFormat="false" ht="29.5" hidden="false" customHeight="false" outlineLevel="0" collapsed="false">
      <c r="A47" s="222" t="s">
        <v>101</v>
      </c>
      <c r="B47" s="231" t="s">
        <v>102</v>
      </c>
      <c r="C47" s="229" t="s">
        <v>103</v>
      </c>
      <c r="D47" s="232" t="n">
        <v>521.1</v>
      </c>
      <c r="E47" s="233" t="n">
        <f aca="false">D47</f>
        <v>521.1</v>
      </c>
      <c r="F47" s="234"/>
      <c r="G47" s="235"/>
      <c r="H47" s="236" t="n">
        <f aca="false">H45*1000/H44</f>
        <v>476.234298531121</v>
      </c>
      <c r="I47" s="237" t="n">
        <f aca="false">H47</f>
        <v>476.234298531121</v>
      </c>
      <c r="J47" s="234"/>
      <c r="K47" s="235"/>
      <c r="L47" s="232"/>
      <c r="M47" s="233" t="n">
        <f aca="false">L47</f>
        <v>0</v>
      </c>
      <c r="N47" s="234"/>
      <c r="O47" s="235"/>
      <c r="P47" s="232" t="n">
        <v>521.1</v>
      </c>
      <c r="Q47" s="233" t="n">
        <f aca="false">P47</f>
        <v>521.1</v>
      </c>
      <c r="R47" s="234"/>
      <c r="S47" s="235"/>
      <c r="T47" s="224" t="n">
        <v>609.646263267875</v>
      </c>
      <c r="U47" s="233" t="n">
        <f aca="false">T47</f>
        <v>609.646263267875</v>
      </c>
      <c r="V47" s="234"/>
      <c r="W47" s="235"/>
      <c r="X47" s="224" t="n">
        <v>0</v>
      </c>
      <c r="Y47" s="233" t="n">
        <f aca="false">X47</f>
        <v>0</v>
      </c>
      <c r="Z47" s="234"/>
      <c r="AA47" s="235"/>
      <c r="AB47" s="238" t="n">
        <f aca="false">IFERROR(X47/P47,0)</f>
        <v>0</v>
      </c>
      <c r="AC47" s="39"/>
    </row>
    <row r="48" customFormat="false" ht="15" hidden="false" customHeight="false" outlineLevel="0" collapsed="false">
      <c r="A48" s="213" t="s">
        <v>104</v>
      </c>
      <c r="B48" s="214" t="s">
        <v>105</v>
      </c>
      <c r="C48" s="215" t="s">
        <v>90</v>
      </c>
      <c r="D48" s="239" t="n">
        <f aca="false">D50*D51/1000</f>
        <v>0</v>
      </c>
      <c r="E48" s="217" t="n">
        <f aca="false">D48</f>
        <v>0</v>
      </c>
      <c r="F48" s="218"/>
      <c r="G48" s="219"/>
      <c r="H48" s="239" t="n">
        <f aca="false">H50*H51/1000</f>
        <v>0</v>
      </c>
      <c r="I48" s="217" t="n">
        <f aca="false">H48</f>
        <v>0</v>
      </c>
      <c r="J48" s="218"/>
      <c r="K48" s="219"/>
      <c r="L48" s="239" t="n">
        <f aca="false">L50*L51/1000</f>
        <v>0</v>
      </c>
      <c r="M48" s="217" t="n">
        <f aca="false">L48</f>
        <v>0</v>
      </c>
      <c r="N48" s="218"/>
      <c r="O48" s="219"/>
      <c r="P48" s="239" t="n">
        <f aca="false">P50*P51/1000</f>
        <v>0</v>
      </c>
      <c r="Q48" s="217" t="n">
        <f aca="false">P48</f>
        <v>0</v>
      </c>
      <c r="R48" s="218"/>
      <c r="S48" s="219"/>
      <c r="T48" s="239" t="n">
        <f aca="false">T50*T51/1000</f>
        <v>0</v>
      </c>
      <c r="U48" s="217" t="n">
        <f aca="false">T48</f>
        <v>0</v>
      </c>
      <c r="V48" s="218"/>
      <c r="W48" s="219"/>
      <c r="X48" s="239" t="n">
        <f aca="false">X50*X51/1000</f>
        <v>0</v>
      </c>
      <c r="Y48" s="217" t="n">
        <f aca="false">X48</f>
        <v>0</v>
      </c>
      <c r="Z48" s="218"/>
      <c r="AA48" s="219"/>
      <c r="AB48" s="220" t="n">
        <f aca="false">IFERROR(X48/P48,0)</f>
        <v>0</v>
      </c>
      <c r="AC48" s="221"/>
      <c r="AD48" s="94"/>
      <c r="AE48" s="94"/>
      <c r="AF48" s="94"/>
      <c r="AG48" s="94"/>
    </row>
    <row r="49" customFormat="false" ht="15" hidden="false" customHeight="false" outlineLevel="0" collapsed="false">
      <c r="A49" s="222" t="s">
        <v>106</v>
      </c>
      <c r="B49" s="223" t="s">
        <v>107</v>
      </c>
      <c r="C49" s="120" t="s">
        <v>43</v>
      </c>
      <c r="D49" s="224"/>
      <c r="E49" s="225" t="n">
        <f aca="false">D49</f>
        <v>0</v>
      </c>
      <c r="F49" s="226"/>
      <c r="G49" s="227"/>
      <c r="H49" s="224"/>
      <c r="I49" s="225" t="n">
        <f aca="false">H49</f>
        <v>0</v>
      </c>
      <c r="J49" s="226"/>
      <c r="K49" s="227"/>
      <c r="L49" s="224"/>
      <c r="M49" s="225" t="n">
        <f aca="false">L49</f>
        <v>0</v>
      </c>
      <c r="N49" s="226"/>
      <c r="O49" s="227"/>
      <c r="P49" s="224"/>
      <c r="Q49" s="225" t="n">
        <f aca="false">P49</f>
        <v>0</v>
      </c>
      <c r="R49" s="226"/>
      <c r="S49" s="227"/>
      <c r="T49" s="224" t="n">
        <v>0</v>
      </c>
      <c r="U49" s="225" t="n">
        <f aca="false">T49</f>
        <v>0</v>
      </c>
      <c r="V49" s="226"/>
      <c r="W49" s="227"/>
      <c r="X49" s="224" t="n">
        <v>0</v>
      </c>
      <c r="Y49" s="225" t="n">
        <f aca="false">X49</f>
        <v>0</v>
      </c>
      <c r="Z49" s="226"/>
      <c r="AA49" s="227"/>
      <c r="AB49" s="173" t="n">
        <f aca="false">IFERROR(X49/P49,0)</f>
        <v>0</v>
      </c>
      <c r="AC49" s="39"/>
    </row>
    <row r="50" customFormat="false" ht="15" hidden="false" customHeight="false" outlineLevel="0" collapsed="false">
      <c r="A50" s="222" t="s">
        <v>108</v>
      </c>
      <c r="B50" s="223" t="s">
        <v>109</v>
      </c>
      <c r="C50" s="229" t="s">
        <v>110</v>
      </c>
      <c r="D50" s="224"/>
      <c r="E50" s="225" t="n">
        <f aca="false">D50</f>
        <v>0</v>
      </c>
      <c r="F50" s="226"/>
      <c r="G50" s="227"/>
      <c r="H50" s="224"/>
      <c r="I50" s="225" t="n">
        <f aca="false">H50</f>
        <v>0</v>
      </c>
      <c r="J50" s="226"/>
      <c r="K50" s="227"/>
      <c r="L50" s="224"/>
      <c r="M50" s="225" t="n">
        <f aca="false">L50</f>
        <v>0</v>
      </c>
      <c r="N50" s="226"/>
      <c r="O50" s="227"/>
      <c r="P50" s="224"/>
      <c r="Q50" s="225" t="n">
        <f aca="false">P50</f>
        <v>0</v>
      </c>
      <c r="R50" s="226"/>
      <c r="S50" s="227"/>
      <c r="T50" s="230" t="n">
        <v>0</v>
      </c>
      <c r="U50" s="225" t="n">
        <f aca="false">T50</f>
        <v>0</v>
      </c>
      <c r="V50" s="226"/>
      <c r="W50" s="227"/>
      <c r="X50" s="230" t="n">
        <v>0</v>
      </c>
      <c r="Y50" s="225" t="n">
        <f aca="false">X50</f>
        <v>0</v>
      </c>
      <c r="Z50" s="226"/>
      <c r="AA50" s="227"/>
      <c r="AB50" s="173" t="n">
        <f aca="false">IFERROR(X50/P50,0)</f>
        <v>0</v>
      </c>
      <c r="AC50" s="228"/>
    </row>
    <row r="51" customFormat="false" ht="15" hidden="false" customHeight="false" outlineLevel="0" collapsed="false">
      <c r="A51" s="222" t="s">
        <v>111</v>
      </c>
      <c r="B51" s="223" t="s">
        <v>112</v>
      </c>
      <c r="C51" s="229" t="s">
        <v>100</v>
      </c>
      <c r="D51" s="224"/>
      <c r="E51" s="225" t="n">
        <f aca="false">D51</f>
        <v>0</v>
      </c>
      <c r="F51" s="226"/>
      <c r="G51" s="227"/>
      <c r="H51" s="224"/>
      <c r="I51" s="225" t="n">
        <f aca="false">H51</f>
        <v>0</v>
      </c>
      <c r="J51" s="226"/>
      <c r="K51" s="227"/>
      <c r="L51" s="224"/>
      <c r="M51" s="225" t="n">
        <f aca="false">L51</f>
        <v>0</v>
      </c>
      <c r="N51" s="226"/>
      <c r="O51" s="227"/>
      <c r="P51" s="224"/>
      <c r="Q51" s="225" t="n">
        <f aca="false">P51</f>
        <v>0</v>
      </c>
      <c r="R51" s="226"/>
      <c r="S51" s="227"/>
      <c r="T51" s="224" t="n">
        <v>0</v>
      </c>
      <c r="U51" s="225" t="n">
        <f aca="false">T51</f>
        <v>0</v>
      </c>
      <c r="V51" s="226"/>
      <c r="W51" s="227"/>
      <c r="X51" s="224" t="n">
        <v>0</v>
      </c>
      <c r="Y51" s="225" t="n">
        <f aca="false">X51</f>
        <v>0</v>
      </c>
      <c r="Z51" s="226"/>
      <c r="AA51" s="227"/>
      <c r="AB51" s="173" t="n">
        <f aca="false">IFERROR(X51/P51,0)</f>
        <v>0</v>
      </c>
      <c r="AC51" s="39"/>
    </row>
    <row r="52" customFormat="false" ht="30" hidden="false" customHeight="false" outlineLevel="0" collapsed="false">
      <c r="A52" s="222" t="s">
        <v>113</v>
      </c>
      <c r="B52" s="231" t="s">
        <v>102</v>
      </c>
      <c r="C52" s="229" t="s">
        <v>103</v>
      </c>
      <c r="D52" s="224"/>
      <c r="E52" s="225" t="n">
        <f aca="false">D52</f>
        <v>0</v>
      </c>
      <c r="F52" s="226"/>
      <c r="G52" s="227"/>
      <c r="H52" s="224"/>
      <c r="I52" s="225" t="n">
        <f aca="false">H52</f>
        <v>0</v>
      </c>
      <c r="J52" s="226"/>
      <c r="K52" s="227"/>
      <c r="L52" s="224"/>
      <c r="M52" s="225" t="n">
        <f aca="false">L52</f>
        <v>0</v>
      </c>
      <c r="N52" s="226"/>
      <c r="O52" s="227"/>
      <c r="P52" s="224"/>
      <c r="Q52" s="225" t="n">
        <f aca="false">P52</f>
        <v>0</v>
      </c>
      <c r="R52" s="226"/>
      <c r="S52" s="227"/>
      <c r="T52" s="224" t="n">
        <v>0</v>
      </c>
      <c r="U52" s="225" t="n">
        <f aca="false">T52</f>
        <v>0</v>
      </c>
      <c r="V52" s="226"/>
      <c r="W52" s="227"/>
      <c r="X52" s="224" t="n">
        <v>0</v>
      </c>
      <c r="Y52" s="225" t="n">
        <f aca="false">X52</f>
        <v>0</v>
      </c>
      <c r="Z52" s="226"/>
      <c r="AA52" s="227"/>
      <c r="AB52" s="238" t="n">
        <f aca="false">IFERROR(X52/P52,0)</f>
        <v>0</v>
      </c>
      <c r="AC52" s="39"/>
    </row>
    <row r="53" customFormat="false" ht="15" hidden="false" customHeight="false" outlineLevel="0" collapsed="false">
      <c r="A53" s="213" t="s">
        <v>114</v>
      </c>
      <c r="B53" s="214" t="s">
        <v>115</v>
      </c>
      <c r="C53" s="215" t="s">
        <v>90</v>
      </c>
      <c r="D53" s="239" t="n">
        <f aca="false">D54*D55/1000</f>
        <v>2497.47266934875</v>
      </c>
      <c r="E53" s="217" t="n">
        <f aca="false">D53</f>
        <v>2497.47266934875</v>
      </c>
      <c r="F53" s="218"/>
      <c r="G53" s="219"/>
      <c r="H53" s="239" t="n">
        <f aca="false">H54*H55/1000</f>
        <v>1573.41538</v>
      </c>
      <c r="I53" s="217" t="n">
        <f aca="false">H53</f>
        <v>1573.41538</v>
      </c>
      <c r="J53" s="218"/>
      <c r="K53" s="219"/>
      <c r="L53" s="239" t="n">
        <f aca="false">L54*L55/1000</f>
        <v>0</v>
      </c>
      <c r="M53" s="217" t="n">
        <f aca="false">L53</f>
        <v>0</v>
      </c>
      <c r="N53" s="218"/>
      <c r="O53" s="219"/>
      <c r="P53" s="239" t="n">
        <f aca="false">P54*P55/1000</f>
        <v>2081.32712395722</v>
      </c>
      <c r="Q53" s="217" t="n">
        <f aca="false">P53</f>
        <v>2081.32712395722</v>
      </c>
      <c r="R53" s="218"/>
      <c r="S53" s="219"/>
      <c r="T53" s="239" t="n">
        <f aca="false">T54*T55/1000</f>
        <v>1736.25443133772</v>
      </c>
      <c r="U53" s="217" t="n">
        <f aca="false">T53</f>
        <v>1736.25443133772</v>
      </c>
      <c r="V53" s="218"/>
      <c r="W53" s="219"/>
      <c r="X53" s="239" t="n">
        <f aca="false">X54*X55/1000</f>
        <v>0</v>
      </c>
      <c r="Y53" s="217" t="n">
        <f aca="false">X53</f>
        <v>0</v>
      </c>
      <c r="Z53" s="218"/>
      <c r="AA53" s="219"/>
      <c r="AB53" s="220" t="n">
        <f aca="false">IFERROR(X53/P53,0)</f>
        <v>0</v>
      </c>
      <c r="AC53" s="221"/>
      <c r="AD53" s="94"/>
      <c r="AE53" s="94"/>
      <c r="AF53" s="94"/>
      <c r="AG53" s="94"/>
    </row>
    <row r="54" customFormat="false" ht="15" hidden="false" customHeight="false" outlineLevel="0" collapsed="false">
      <c r="A54" s="222" t="s">
        <v>116</v>
      </c>
      <c r="B54" s="223" t="s">
        <v>117</v>
      </c>
      <c r="C54" s="229" t="s">
        <v>110</v>
      </c>
      <c r="D54" s="224" t="n">
        <v>26.0178676848151</v>
      </c>
      <c r="E54" s="225" t="n">
        <f aca="false">D54</f>
        <v>26.0178676848151</v>
      </c>
      <c r="F54" s="226"/>
      <c r="G54" s="227"/>
      <c r="H54" s="224" t="n">
        <v>18.66503</v>
      </c>
      <c r="I54" s="225" t="n">
        <f aca="false">H54</f>
        <v>18.66503</v>
      </c>
      <c r="J54" s="226"/>
      <c r="K54" s="227"/>
      <c r="L54" s="224"/>
      <c r="M54" s="225" t="n">
        <f aca="false">L54</f>
        <v>0</v>
      </c>
      <c r="N54" s="226"/>
      <c r="O54" s="227"/>
      <c r="P54" s="224" t="n">
        <v>23.5891622666265</v>
      </c>
      <c r="Q54" s="225" t="n">
        <f aca="false">P54</f>
        <v>23.5891622666265</v>
      </c>
      <c r="R54" s="226"/>
      <c r="S54" s="227"/>
      <c r="T54" s="224" t="n">
        <v>18.66503</v>
      </c>
      <c r="U54" s="225" t="n">
        <f aca="false">T54</f>
        <v>18.66503</v>
      </c>
      <c r="V54" s="226"/>
      <c r="W54" s="227"/>
      <c r="X54" s="224" t="n">
        <v>0</v>
      </c>
      <c r="Y54" s="225" t="n">
        <f aca="false">X54</f>
        <v>0</v>
      </c>
      <c r="Z54" s="226"/>
      <c r="AA54" s="227"/>
      <c r="AB54" s="173" t="n">
        <f aca="false">IFERROR(X54/P54,0)</f>
        <v>0</v>
      </c>
      <c r="AC54" s="228"/>
    </row>
    <row r="55" customFormat="false" ht="15" hidden="false" customHeight="false" outlineLevel="0" collapsed="false">
      <c r="A55" s="222" t="s">
        <v>118</v>
      </c>
      <c r="B55" s="223" t="s">
        <v>112</v>
      </c>
      <c r="C55" s="229" t="s">
        <v>100</v>
      </c>
      <c r="D55" s="224" t="n">
        <v>95990.6745473365</v>
      </c>
      <c r="E55" s="225" t="n">
        <f aca="false">D55</f>
        <v>95990.6745473365</v>
      </c>
      <c r="F55" s="226"/>
      <c r="G55" s="227"/>
      <c r="H55" s="224" t="n">
        <v>84297.5007272959</v>
      </c>
      <c r="I55" s="225" t="n">
        <f aca="false">H55</f>
        <v>84297.5007272959</v>
      </c>
      <c r="J55" s="226"/>
      <c r="K55" s="227"/>
      <c r="L55" s="224"/>
      <c r="M55" s="225" t="n">
        <f aca="false">L55</f>
        <v>0</v>
      </c>
      <c r="N55" s="226"/>
      <c r="O55" s="227"/>
      <c r="P55" s="224" t="n">
        <v>88232.3458727417</v>
      </c>
      <c r="Q55" s="225" t="n">
        <f aca="false">P55</f>
        <v>88232.3458727417</v>
      </c>
      <c r="R55" s="226"/>
      <c r="S55" s="227"/>
      <c r="T55" s="224" t="n">
        <v>93021.7862675667</v>
      </c>
      <c r="U55" s="225" t="n">
        <f aca="false">T55</f>
        <v>93021.7862675667</v>
      </c>
      <c r="V55" s="226"/>
      <c r="W55" s="227"/>
      <c r="X55" s="224" t="n">
        <v>0</v>
      </c>
      <c r="Y55" s="225" t="n">
        <f aca="false">X55</f>
        <v>0</v>
      </c>
      <c r="Z55" s="226"/>
      <c r="AA55" s="227"/>
      <c r="AB55" s="173" t="n">
        <f aca="false">IFERROR(X55/P55,0)</f>
        <v>0</v>
      </c>
      <c r="AC55" s="228"/>
    </row>
    <row r="56" customFormat="false" ht="15" hidden="false" customHeight="false" outlineLevel="0" collapsed="false">
      <c r="A56" s="222" t="s">
        <v>119</v>
      </c>
      <c r="B56" s="223" t="s">
        <v>120</v>
      </c>
      <c r="C56" s="229" t="s">
        <v>121</v>
      </c>
      <c r="D56" s="240" t="n">
        <f aca="false">D54/D17*1000</f>
        <v>0.151220954623109</v>
      </c>
      <c r="E56" s="225" t="n">
        <f aca="false">D56</f>
        <v>0.151220954623109</v>
      </c>
      <c r="F56" s="226"/>
      <c r="G56" s="227"/>
      <c r="H56" s="240" t="n">
        <f aca="false">H54/H17*1000</f>
        <v>0.112482504222803</v>
      </c>
      <c r="I56" s="225" t="n">
        <f aca="false">H56</f>
        <v>0.112482504222803</v>
      </c>
      <c r="J56" s="226"/>
      <c r="K56" s="227"/>
      <c r="L56" s="240" t="e">
        <f aca="false">L54/L17*1000</f>
        <v>#DIV/0!</v>
      </c>
      <c r="M56" s="225" t="e">
        <f aca="false">L56</f>
        <v>#DIV/0!</v>
      </c>
      <c r="N56" s="226"/>
      <c r="O56" s="227"/>
      <c r="P56" s="240" t="n">
        <f aca="false">P54/P17*1000</f>
        <v>0.144294755085525</v>
      </c>
      <c r="Q56" s="225" t="n">
        <f aca="false">P56</f>
        <v>0.144294755085525</v>
      </c>
      <c r="R56" s="226"/>
      <c r="S56" s="227"/>
      <c r="T56" s="224" t="n">
        <v>0.112122889324542</v>
      </c>
      <c r="U56" s="225" t="n">
        <f aca="false">T56</f>
        <v>0.112122889324542</v>
      </c>
      <c r="V56" s="226"/>
      <c r="W56" s="227"/>
      <c r="X56" s="224" t="n">
        <v>0</v>
      </c>
      <c r="Y56" s="225" t="n">
        <f aca="false">X56</f>
        <v>0</v>
      </c>
      <c r="Z56" s="226"/>
      <c r="AA56" s="227"/>
      <c r="AB56" s="173" t="n">
        <f aca="false">IFERROR(X56/P56,0)</f>
        <v>0</v>
      </c>
      <c r="AC56" s="228"/>
    </row>
    <row r="57" customFormat="false" ht="30" hidden="false" customHeight="false" outlineLevel="0" collapsed="false">
      <c r="A57" s="213" t="s">
        <v>122</v>
      </c>
      <c r="B57" s="241" t="s">
        <v>123</v>
      </c>
      <c r="C57" s="215" t="s">
        <v>90</v>
      </c>
      <c r="D57" s="239" t="n">
        <f aca="false">D58*D59/1000</f>
        <v>0</v>
      </c>
      <c r="E57" s="217" t="n">
        <f aca="false">D57</f>
        <v>0</v>
      </c>
      <c r="F57" s="226"/>
      <c r="G57" s="227"/>
      <c r="H57" s="239" t="n">
        <f aca="false">H58*H59/1000</f>
        <v>0</v>
      </c>
      <c r="I57" s="217" t="n">
        <f aca="false">H57</f>
        <v>0</v>
      </c>
      <c r="J57" s="226"/>
      <c r="K57" s="227"/>
      <c r="L57" s="239" t="n">
        <f aca="false">L58*L59/1000</f>
        <v>0</v>
      </c>
      <c r="M57" s="217" t="n">
        <f aca="false">L57</f>
        <v>0</v>
      </c>
      <c r="N57" s="226"/>
      <c r="O57" s="227"/>
      <c r="P57" s="239" t="n">
        <f aca="false">P58*P59/1000</f>
        <v>0</v>
      </c>
      <c r="Q57" s="217" t="n">
        <f aca="false">P57</f>
        <v>0</v>
      </c>
      <c r="R57" s="226"/>
      <c r="S57" s="227"/>
      <c r="T57" s="239" t="n">
        <f aca="false">T58*T59/1000</f>
        <v>0</v>
      </c>
      <c r="U57" s="217" t="n">
        <f aca="false">T57</f>
        <v>0</v>
      </c>
      <c r="V57" s="226"/>
      <c r="W57" s="227"/>
      <c r="X57" s="239" t="n">
        <f aca="false">X58*X59/1000</f>
        <v>0</v>
      </c>
      <c r="Y57" s="217" t="n">
        <f aca="false">X57</f>
        <v>0</v>
      </c>
      <c r="Z57" s="226"/>
      <c r="AA57" s="227"/>
      <c r="AB57" s="173" t="n">
        <f aca="false">IFERROR(X57/P57,0)</f>
        <v>0</v>
      </c>
      <c r="AC57" s="228"/>
    </row>
    <row r="58" customFormat="false" ht="15" hidden="false" customHeight="false" outlineLevel="0" collapsed="false">
      <c r="A58" s="222" t="s">
        <v>124</v>
      </c>
      <c r="B58" s="223" t="s">
        <v>125</v>
      </c>
      <c r="C58" s="229" t="s">
        <v>110</v>
      </c>
      <c r="D58" s="242"/>
      <c r="E58" s="225" t="n">
        <f aca="false">D58</f>
        <v>0</v>
      </c>
      <c r="F58" s="226"/>
      <c r="G58" s="227"/>
      <c r="H58" s="242"/>
      <c r="I58" s="225" t="n">
        <f aca="false">H58</f>
        <v>0</v>
      </c>
      <c r="J58" s="226"/>
      <c r="K58" s="227"/>
      <c r="L58" s="242"/>
      <c r="M58" s="225" t="n">
        <f aca="false">L58</f>
        <v>0</v>
      </c>
      <c r="N58" s="226"/>
      <c r="O58" s="227"/>
      <c r="P58" s="242"/>
      <c r="Q58" s="225" t="n">
        <f aca="false">P58</f>
        <v>0</v>
      </c>
      <c r="R58" s="226"/>
      <c r="S58" s="227"/>
      <c r="T58" s="242" t="n">
        <v>0</v>
      </c>
      <c r="U58" s="225" t="n">
        <f aca="false">T58</f>
        <v>0</v>
      </c>
      <c r="V58" s="226"/>
      <c r="W58" s="227"/>
      <c r="X58" s="242" t="n">
        <v>0</v>
      </c>
      <c r="Y58" s="225" t="n">
        <f aca="false">X58</f>
        <v>0</v>
      </c>
      <c r="Z58" s="226"/>
      <c r="AA58" s="227"/>
      <c r="AB58" s="173" t="n">
        <f aca="false">IFERROR(X58/P58,0)</f>
        <v>0</v>
      </c>
      <c r="AC58" s="228"/>
    </row>
    <row r="59" customFormat="false" ht="15" hidden="false" customHeight="false" outlineLevel="0" collapsed="false">
      <c r="A59" s="222" t="s">
        <v>126</v>
      </c>
      <c r="B59" s="223" t="s">
        <v>112</v>
      </c>
      <c r="C59" s="229" t="s">
        <v>100</v>
      </c>
      <c r="D59" s="242"/>
      <c r="E59" s="225" t="n">
        <f aca="false">D59</f>
        <v>0</v>
      </c>
      <c r="F59" s="226"/>
      <c r="G59" s="227"/>
      <c r="H59" s="242"/>
      <c r="I59" s="225" t="n">
        <f aca="false">H59</f>
        <v>0</v>
      </c>
      <c r="J59" s="226"/>
      <c r="K59" s="227"/>
      <c r="L59" s="242"/>
      <c r="M59" s="225" t="n">
        <f aca="false">L59</f>
        <v>0</v>
      </c>
      <c r="N59" s="226"/>
      <c r="O59" s="227"/>
      <c r="P59" s="242"/>
      <c r="Q59" s="225" t="n">
        <f aca="false">P59</f>
        <v>0</v>
      </c>
      <c r="R59" s="226"/>
      <c r="S59" s="227"/>
      <c r="T59" s="242" t="n">
        <v>0</v>
      </c>
      <c r="U59" s="225" t="n">
        <f aca="false">T59</f>
        <v>0</v>
      </c>
      <c r="V59" s="226"/>
      <c r="W59" s="227"/>
      <c r="X59" s="242" t="n">
        <v>0</v>
      </c>
      <c r="Y59" s="225" t="n">
        <f aca="false">X59</f>
        <v>0</v>
      </c>
      <c r="Z59" s="226"/>
      <c r="AA59" s="227"/>
      <c r="AB59" s="238" t="n">
        <f aca="false">IFERROR(X59/P59,0)</f>
        <v>0</v>
      </c>
      <c r="AC59" s="228"/>
    </row>
    <row r="60" customFormat="false" ht="15" hidden="false" customHeight="false" outlineLevel="0" collapsed="false">
      <c r="A60" s="213" t="s">
        <v>127</v>
      </c>
      <c r="B60" s="243" t="s">
        <v>128</v>
      </c>
      <c r="C60" s="215" t="s">
        <v>90</v>
      </c>
      <c r="D60" s="216" t="n">
        <f aca="false">((D61+D62+D63)*D45+D64*D50+D65*D54)/1000+D66</f>
        <v>0</v>
      </c>
      <c r="E60" s="217" t="n">
        <f aca="false">D60</f>
        <v>0</v>
      </c>
      <c r="F60" s="218"/>
      <c r="G60" s="219"/>
      <c r="H60" s="216" t="n">
        <f aca="false">((H61+H62+H63)*H45+H64*H50+H65*H54)/1000+H66</f>
        <v>0</v>
      </c>
      <c r="I60" s="217" t="n">
        <f aca="false">H60</f>
        <v>0</v>
      </c>
      <c r="J60" s="218"/>
      <c r="K60" s="219"/>
      <c r="L60" s="216" t="n">
        <f aca="false">((L61+L62+L63)*L45+L64*L50+L65*L54)/1000+L66</f>
        <v>0</v>
      </c>
      <c r="M60" s="217" t="n">
        <f aca="false">L60</f>
        <v>0</v>
      </c>
      <c r="N60" s="218"/>
      <c r="O60" s="219"/>
      <c r="P60" s="216" t="n">
        <f aca="false">((P61+P62+P63)*P45+P64*P50+P65*P54)/1000+P66</f>
        <v>0</v>
      </c>
      <c r="Q60" s="217" t="n">
        <f aca="false">P60</f>
        <v>0</v>
      </c>
      <c r="R60" s="218"/>
      <c r="S60" s="219"/>
      <c r="T60" s="216" t="n">
        <f aca="false">((T61+T62+T63)*T45+T64*T50+T65*T54)/1000+T66</f>
        <v>0</v>
      </c>
      <c r="U60" s="217" t="n">
        <f aca="false">T60</f>
        <v>0</v>
      </c>
      <c r="V60" s="218"/>
      <c r="W60" s="219"/>
      <c r="X60" s="216" t="n">
        <f aca="false">((X61+X62+X63)*X45+X64*X50+X65*X54)/1000+X66</f>
        <v>0</v>
      </c>
      <c r="Y60" s="217" t="n">
        <f aca="false">X60</f>
        <v>0</v>
      </c>
      <c r="Z60" s="218"/>
      <c r="AA60" s="219"/>
      <c r="AB60" s="220" t="n">
        <f aca="false">IFERROR(X60/P60,0)</f>
        <v>0</v>
      </c>
      <c r="AC60" s="221"/>
      <c r="AD60" s="94"/>
      <c r="AE60" s="94"/>
      <c r="AF60" s="94"/>
      <c r="AG60" s="94"/>
    </row>
    <row r="61" customFormat="false" ht="18" hidden="false" customHeight="false" outlineLevel="0" collapsed="false">
      <c r="A61" s="222" t="s">
        <v>129</v>
      </c>
      <c r="B61" s="223" t="s">
        <v>130</v>
      </c>
      <c r="C61" s="229" t="s">
        <v>131</v>
      </c>
      <c r="D61" s="224"/>
      <c r="E61" s="225" t="n">
        <v>0</v>
      </c>
      <c r="F61" s="226"/>
      <c r="G61" s="227"/>
      <c r="H61" s="224"/>
      <c r="I61" s="225" t="n">
        <v>0</v>
      </c>
      <c r="J61" s="226"/>
      <c r="K61" s="227"/>
      <c r="L61" s="224"/>
      <c r="M61" s="225" t="n">
        <v>0</v>
      </c>
      <c r="N61" s="226"/>
      <c r="O61" s="227"/>
      <c r="P61" s="224"/>
      <c r="Q61" s="225" t="n">
        <v>0</v>
      </c>
      <c r="R61" s="226"/>
      <c r="S61" s="227"/>
      <c r="T61" s="224" t="n">
        <v>0</v>
      </c>
      <c r="U61" s="225" t="n">
        <v>0</v>
      </c>
      <c r="V61" s="226"/>
      <c r="W61" s="227"/>
      <c r="X61" s="224" t="n">
        <v>0</v>
      </c>
      <c r="Y61" s="225" t="n">
        <v>0</v>
      </c>
      <c r="Z61" s="226"/>
      <c r="AA61" s="227"/>
      <c r="AB61" s="173" t="n">
        <f aca="false">IFERROR(X61/P61,0)</f>
        <v>0</v>
      </c>
      <c r="AC61" s="39"/>
    </row>
    <row r="62" customFormat="false" ht="18" hidden="false" customHeight="false" outlineLevel="0" collapsed="false">
      <c r="A62" s="222" t="s">
        <v>132</v>
      </c>
      <c r="B62" s="223" t="s">
        <v>133</v>
      </c>
      <c r="C62" s="229" t="s">
        <v>131</v>
      </c>
      <c r="D62" s="224"/>
      <c r="E62" s="225" t="n">
        <v>0</v>
      </c>
      <c r="F62" s="226"/>
      <c r="G62" s="227"/>
      <c r="H62" s="224"/>
      <c r="I62" s="225" t="n">
        <v>0</v>
      </c>
      <c r="J62" s="226"/>
      <c r="K62" s="227"/>
      <c r="L62" s="224"/>
      <c r="M62" s="225" t="n">
        <v>0</v>
      </c>
      <c r="N62" s="226"/>
      <c r="O62" s="227"/>
      <c r="P62" s="224"/>
      <c r="Q62" s="225" t="n">
        <v>0</v>
      </c>
      <c r="R62" s="226"/>
      <c r="S62" s="227"/>
      <c r="T62" s="224" t="n">
        <v>0</v>
      </c>
      <c r="U62" s="225" t="n">
        <v>0</v>
      </c>
      <c r="V62" s="226"/>
      <c r="W62" s="227"/>
      <c r="X62" s="224" t="n">
        <v>0</v>
      </c>
      <c r="Y62" s="225" t="n">
        <v>0</v>
      </c>
      <c r="Z62" s="226"/>
      <c r="AA62" s="227"/>
      <c r="AB62" s="173" t="n">
        <f aca="false">IFERROR(X62/P62,0)</f>
        <v>0</v>
      </c>
      <c r="AC62" s="39"/>
    </row>
    <row r="63" customFormat="false" ht="18" hidden="false" customHeight="false" outlineLevel="0" collapsed="false">
      <c r="A63" s="222" t="s">
        <v>134</v>
      </c>
      <c r="B63" s="223" t="s">
        <v>135</v>
      </c>
      <c r="C63" s="229" t="s">
        <v>131</v>
      </c>
      <c r="D63" s="224"/>
      <c r="E63" s="225" t="n">
        <f aca="false">D63</f>
        <v>0</v>
      </c>
      <c r="F63" s="226"/>
      <c r="G63" s="227"/>
      <c r="H63" s="224"/>
      <c r="I63" s="225" t="n">
        <f aca="false">H63</f>
        <v>0</v>
      </c>
      <c r="J63" s="226"/>
      <c r="K63" s="227"/>
      <c r="L63" s="224"/>
      <c r="M63" s="225" t="n">
        <f aca="false">L63</f>
        <v>0</v>
      </c>
      <c r="N63" s="226"/>
      <c r="O63" s="227"/>
      <c r="P63" s="224"/>
      <c r="Q63" s="225" t="n">
        <f aca="false">P63</f>
        <v>0</v>
      </c>
      <c r="R63" s="226"/>
      <c r="S63" s="227"/>
      <c r="T63" s="224" t="n">
        <v>0</v>
      </c>
      <c r="U63" s="225" t="n">
        <f aca="false">T63</f>
        <v>0</v>
      </c>
      <c r="V63" s="226"/>
      <c r="W63" s="227"/>
      <c r="X63" s="224" t="n">
        <v>0</v>
      </c>
      <c r="Y63" s="225" t="n">
        <f aca="false">X63</f>
        <v>0</v>
      </c>
      <c r="Z63" s="226"/>
      <c r="AA63" s="227"/>
      <c r="AB63" s="173" t="n">
        <f aca="false">IFERROR(X63/P63,0)</f>
        <v>0</v>
      </c>
      <c r="AC63" s="39"/>
    </row>
    <row r="64" customFormat="false" ht="15" hidden="false" customHeight="false" outlineLevel="0" collapsed="false">
      <c r="A64" s="222" t="s">
        <v>136</v>
      </c>
      <c r="B64" s="223" t="s">
        <v>137</v>
      </c>
      <c r="C64" s="229" t="s">
        <v>100</v>
      </c>
      <c r="D64" s="224"/>
      <c r="E64" s="225" t="n">
        <f aca="false">D64</f>
        <v>0</v>
      </c>
      <c r="F64" s="226"/>
      <c r="G64" s="227"/>
      <c r="H64" s="224"/>
      <c r="I64" s="225" t="n">
        <f aca="false">H64</f>
        <v>0</v>
      </c>
      <c r="J64" s="226"/>
      <c r="K64" s="227"/>
      <c r="L64" s="224"/>
      <c r="M64" s="225" t="n">
        <f aca="false">L64</f>
        <v>0</v>
      </c>
      <c r="N64" s="226"/>
      <c r="O64" s="227"/>
      <c r="P64" s="224"/>
      <c r="Q64" s="225" t="n">
        <f aca="false">P64</f>
        <v>0</v>
      </c>
      <c r="R64" s="226"/>
      <c r="S64" s="227"/>
      <c r="T64" s="224" t="n">
        <v>0</v>
      </c>
      <c r="U64" s="225" t="n">
        <f aca="false">T64</f>
        <v>0</v>
      </c>
      <c r="V64" s="226"/>
      <c r="W64" s="227"/>
      <c r="X64" s="224" t="n">
        <v>0</v>
      </c>
      <c r="Y64" s="225" t="n">
        <f aca="false">X64</f>
        <v>0</v>
      </c>
      <c r="Z64" s="226"/>
      <c r="AA64" s="227"/>
      <c r="AB64" s="173" t="n">
        <f aca="false">IFERROR(X64/P64,0)</f>
        <v>0</v>
      </c>
      <c r="AC64" s="39"/>
    </row>
    <row r="65" customFormat="false" ht="15" hidden="false" customHeight="false" outlineLevel="0" collapsed="false">
      <c r="A65" s="222" t="s">
        <v>138</v>
      </c>
      <c r="B65" s="223" t="s">
        <v>139</v>
      </c>
      <c r="C65" s="229" t="s">
        <v>100</v>
      </c>
      <c r="D65" s="224"/>
      <c r="E65" s="225" t="n">
        <f aca="false">D65</f>
        <v>0</v>
      </c>
      <c r="F65" s="226"/>
      <c r="G65" s="227"/>
      <c r="H65" s="224"/>
      <c r="I65" s="225" t="n">
        <f aca="false">H65</f>
        <v>0</v>
      </c>
      <c r="J65" s="226"/>
      <c r="K65" s="227"/>
      <c r="L65" s="224"/>
      <c r="M65" s="225" t="n">
        <f aca="false">L65</f>
        <v>0</v>
      </c>
      <c r="N65" s="226"/>
      <c r="O65" s="227"/>
      <c r="P65" s="224"/>
      <c r="Q65" s="225" t="n">
        <f aca="false">P65</f>
        <v>0</v>
      </c>
      <c r="R65" s="226"/>
      <c r="S65" s="227"/>
      <c r="T65" s="224" t="n">
        <v>0</v>
      </c>
      <c r="U65" s="225" t="n">
        <f aca="false">T65</f>
        <v>0</v>
      </c>
      <c r="V65" s="226"/>
      <c r="W65" s="227"/>
      <c r="X65" s="224" t="n">
        <v>0</v>
      </c>
      <c r="Y65" s="225" t="n">
        <f aca="false">X65</f>
        <v>0</v>
      </c>
      <c r="Z65" s="226"/>
      <c r="AA65" s="227"/>
      <c r="AB65" s="173" t="n">
        <f aca="false">IFERROR(X65/P65,0)</f>
        <v>0</v>
      </c>
      <c r="AC65" s="228"/>
    </row>
    <row r="66" customFormat="false" ht="15" hidden="false" customHeight="false" outlineLevel="0" collapsed="false">
      <c r="A66" s="222" t="s">
        <v>140</v>
      </c>
      <c r="B66" s="223" t="s">
        <v>141</v>
      </c>
      <c r="C66" s="229" t="s">
        <v>90</v>
      </c>
      <c r="D66" s="224"/>
      <c r="E66" s="225" t="n">
        <f aca="false">D66</f>
        <v>0</v>
      </c>
      <c r="F66" s="226"/>
      <c r="G66" s="227"/>
      <c r="H66" s="224"/>
      <c r="I66" s="225" t="n">
        <f aca="false">H66</f>
        <v>0</v>
      </c>
      <c r="J66" s="226"/>
      <c r="K66" s="227"/>
      <c r="L66" s="224"/>
      <c r="M66" s="225" t="n">
        <f aca="false">L66</f>
        <v>0</v>
      </c>
      <c r="N66" s="226"/>
      <c r="O66" s="227"/>
      <c r="P66" s="224"/>
      <c r="Q66" s="225" t="n">
        <f aca="false">P66</f>
        <v>0</v>
      </c>
      <c r="R66" s="226"/>
      <c r="S66" s="227"/>
      <c r="T66" s="224" t="n">
        <v>0</v>
      </c>
      <c r="U66" s="225" t="n">
        <f aca="false">T66</f>
        <v>0</v>
      </c>
      <c r="V66" s="226"/>
      <c r="W66" s="227"/>
      <c r="X66" s="224" t="n">
        <v>0</v>
      </c>
      <c r="Y66" s="225" t="n">
        <f aca="false">X66</f>
        <v>0</v>
      </c>
      <c r="Z66" s="226"/>
      <c r="AA66" s="227"/>
      <c r="AB66" s="238" t="n">
        <f aca="false">IFERROR(X66/P66,0)</f>
        <v>0</v>
      </c>
      <c r="AC66" s="228"/>
    </row>
    <row r="67" customFormat="false" ht="15" hidden="false" customHeight="false" outlineLevel="0" collapsed="false">
      <c r="A67" s="213" t="s">
        <v>142</v>
      </c>
      <c r="B67" s="244" t="s">
        <v>143</v>
      </c>
      <c r="C67" s="215" t="s">
        <v>90</v>
      </c>
      <c r="D67" s="217" t="n">
        <f aca="false">D68*D69</f>
        <v>85861.9868354406</v>
      </c>
      <c r="E67" s="217" t="n">
        <f aca="false">D67</f>
        <v>85861.9868354406</v>
      </c>
      <c r="F67" s="218"/>
      <c r="G67" s="219"/>
      <c r="H67" s="217" t="n">
        <f aca="false">H68*H69</f>
        <v>77447.5057400001</v>
      </c>
      <c r="I67" s="217" t="n">
        <f aca="false">H67</f>
        <v>77447.5057400001</v>
      </c>
      <c r="J67" s="218"/>
      <c r="K67" s="219"/>
      <c r="L67" s="217" t="n">
        <f aca="false">L68*L69</f>
        <v>0</v>
      </c>
      <c r="M67" s="217" t="n">
        <f aca="false">L67</f>
        <v>0</v>
      </c>
      <c r="N67" s="218"/>
      <c r="O67" s="219"/>
      <c r="P67" s="217" t="n">
        <f aca="false">P68*P69</f>
        <v>91297.6100991221</v>
      </c>
      <c r="Q67" s="217" t="n">
        <f aca="false">P67</f>
        <v>91297.6100991221</v>
      </c>
      <c r="R67" s="218"/>
      <c r="S67" s="219"/>
      <c r="T67" s="217" t="n">
        <f aca="false">T68*T69</f>
        <v>97890.5075498932</v>
      </c>
      <c r="U67" s="217" t="n">
        <f aca="false">T67</f>
        <v>97890.5075498932</v>
      </c>
      <c r="V67" s="218"/>
      <c r="W67" s="219"/>
      <c r="X67" s="217" t="n">
        <f aca="false">X68*X69</f>
        <v>0</v>
      </c>
      <c r="Y67" s="217" t="n">
        <f aca="false">X67</f>
        <v>0</v>
      </c>
      <c r="Z67" s="218"/>
      <c r="AA67" s="219"/>
      <c r="AB67" s="220" t="n">
        <f aca="false">IFERROR(X67/P67,0)</f>
        <v>0</v>
      </c>
      <c r="AC67" s="221"/>
      <c r="AD67" s="94"/>
      <c r="AE67" s="94"/>
      <c r="AF67" s="94"/>
      <c r="AG67" s="94"/>
    </row>
    <row r="68" customFormat="false" ht="15" hidden="false" customHeight="false" outlineLevel="0" collapsed="false">
      <c r="A68" s="222" t="s">
        <v>144</v>
      </c>
      <c r="B68" s="223" t="s">
        <v>145</v>
      </c>
      <c r="C68" s="229" t="s">
        <v>146</v>
      </c>
      <c r="D68" s="242" t="n">
        <v>5367.4925</v>
      </c>
      <c r="E68" s="225" t="n">
        <f aca="false">D68</f>
        <v>5367.4925</v>
      </c>
      <c r="F68" s="226"/>
      <c r="G68" s="227"/>
      <c r="H68" s="242" t="n">
        <v>5100.113</v>
      </c>
      <c r="I68" s="225" t="n">
        <f aca="false">H68</f>
        <v>5100.113</v>
      </c>
      <c r="J68" s="226"/>
      <c r="K68" s="227"/>
      <c r="L68" s="242"/>
      <c r="M68" s="225" t="n">
        <f aca="false">L68</f>
        <v>0</v>
      </c>
      <c r="N68" s="226"/>
      <c r="O68" s="227"/>
      <c r="P68" s="242" t="n">
        <v>5251.62633333333</v>
      </c>
      <c r="Q68" s="225" t="n">
        <f aca="false">P68</f>
        <v>5251.62633333333</v>
      </c>
      <c r="R68" s="226"/>
      <c r="S68" s="227"/>
      <c r="T68" s="242" t="n">
        <v>5841.75</v>
      </c>
      <c r="U68" s="225" t="n">
        <f aca="false">T68</f>
        <v>5841.75</v>
      </c>
      <c r="V68" s="226"/>
      <c r="W68" s="227"/>
      <c r="X68" s="242" t="n">
        <v>0</v>
      </c>
      <c r="Y68" s="225" t="n">
        <f aca="false">X68</f>
        <v>0</v>
      </c>
      <c r="Z68" s="226"/>
      <c r="AA68" s="227"/>
      <c r="AB68" s="173" t="n">
        <f aca="false">IFERROR(X68/P68,0)</f>
        <v>0</v>
      </c>
      <c r="AC68" s="228"/>
    </row>
    <row r="69" customFormat="false" ht="15" hidden="false" customHeight="false" outlineLevel="0" collapsed="false">
      <c r="A69" s="222" t="s">
        <v>147</v>
      </c>
      <c r="B69" s="223" t="s">
        <v>148</v>
      </c>
      <c r="C69" s="229" t="s">
        <v>100</v>
      </c>
      <c r="D69" s="242" t="n">
        <v>15.9966663829415</v>
      </c>
      <c r="E69" s="225" t="n">
        <f aca="false">D69</f>
        <v>15.9966663829415</v>
      </c>
      <c r="F69" s="226"/>
      <c r="G69" s="227"/>
      <c r="H69" s="242" t="n">
        <v>15.185448977307</v>
      </c>
      <c r="I69" s="225" t="n">
        <f aca="false">H69</f>
        <v>15.185448977307</v>
      </c>
      <c r="J69" s="226"/>
      <c r="K69" s="227"/>
      <c r="L69" s="242"/>
      <c r="M69" s="225" t="n">
        <f aca="false">L69</f>
        <v>0</v>
      </c>
      <c r="N69" s="226"/>
      <c r="O69" s="227"/>
      <c r="P69" s="242" t="n">
        <v>17.3846355974785</v>
      </c>
      <c r="Q69" s="225" t="n">
        <f aca="false">P69</f>
        <v>17.3846355974785</v>
      </c>
      <c r="R69" s="226"/>
      <c r="S69" s="227"/>
      <c r="T69" s="242" t="n">
        <v>16.7570518337644</v>
      </c>
      <c r="U69" s="225" t="n">
        <f aca="false">T69</f>
        <v>16.7570518337644</v>
      </c>
      <c r="V69" s="226"/>
      <c r="W69" s="227"/>
      <c r="X69" s="242" t="n">
        <v>0</v>
      </c>
      <c r="Y69" s="225" t="n">
        <f aca="false">X69</f>
        <v>0</v>
      </c>
      <c r="Z69" s="226"/>
      <c r="AA69" s="227"/>
      <c r="AB69" s="238" t="n">
        <f aca="false">IFERROR(X69/P69,0)</f>
        <v>0</v>
      </c>
      <c r="AC69" s="228"/>
    </row>
    <row r="70" customFormat="false" ht="15" hidden="false" customHeight="false" outlineLevel="0" collapsed="false">
      <c r="A70" s="213" t="s">
        <v>149</v>
      </c>
      <c r="B70" s="244" t="s">
        <v>150</v>
      </c>
      <c r="C70" s="215" t="s">
        <v>90</v>
      </c>
      <c r="D70" s="217" t="n">
        <v>118615.090928056</v>
      </c>
      <c r="E70" s="217" t="n">
        <f aca="false">D70</f>
        <v>118615.090928056</v>
      </c>
      <c r="F70" s="218"/>
      <c r="G70" s="219"/>
      <c r="H70" s="217" t="n">
        <f aca="false">H71*H72/1000</f>
        <v>111957.9538</v>
      </c>
      <c r="I70" s="217" t="n">
        <f aca="false">H70</f>
        <v>111957.9538</v>
      </c>
      <c r="J70" s="218"/>
      <c r="K70" s="219"/>
      <c r="L70" s="217" t="n">
        <f aca="false">L71*L72/1000</f>
        <v>0</v>
      </c>
      <c r="M70" s="217" t="n">
        <f aca="false">L70</f>
        <v>0</v>
      </c>
      <c r="N70" s="218"/>
      <c r="O70" s="219"/>
      <c r="P70" s="217" t="n">
        <v>133141.489940384</v>
      </c>
      <c r="Q70" s="217" t="n">
        <f aca="false">P70</f>
        <v>133141.489940384</v>
      </c>
      <c r="R70" s="218"/>
      <c r="S70" s="219"/>
      <c r="T70" s="217" t="n">
        <f aca="false">T71*T72/1000</f>
        <v>129015.151399</v>
      </c>
      <c r="U70" s="217" t="n">
        <f aca="false">T70</f>
        <v>129015.151399</v>
      </c>
      <c r="V70" s="218"/>
      <c r="W70" s="219"/>
      <c r="X70" s="217" t="n">
        <f aca="false">X71*X72/1000</f>
        <v>0</v>
      </c>
      <c r="Y70" s="217" t="n">
        <f aca="false">X70</f>
        <v>0</v>
      </c>
      <c r="Z70" s="218"/>
      <c r="AA70" s="219"/>
      <c r="AB70" s="220" t="n">
        <f aca="false">IFERROR(X70/P70,0)</f>
        <v>0</v>
      </c>
      <c r="AC70" s="221"/>
      <c r="AD70" s="94"/>
      <c r="AE70" s="94"/>
      <c r="AF70" s="94"/>
      <c r="AG70" s="94"/>
    </row>
    <row r="71" customFormat="false" ht="15" hidden="false" customHeight="false" outlineLevel="0" collapsed="false">
      <c r="A71" s="222" t="s">
        <v>151</v>
      </c>
      <c r="B71" s="245" t="s">
        <v>152</v>
      </c>
      <c r="C71" s="229" t="s">
        <v>153</v>
      </c>
      <c r="D71" s="246"/>
      <c r="E71" s="225" t="n">
        <f aca="false">D71</f>
        <v>0</v>
      </c>
      <c r="F71" s="247"/>
      <c r="G71" s="248"/>
      <c r="H71" s="246" t="n">
        <v>9346.4</v>
      </c>
      <c r="I71" s="225" t="n">
        <f aca="false">H71</f>
        <v>9346.4</v>
      </c>
      <c r="J71" s="247"/>
      <c r="K71" s="248"/>
      <c r="L71" s="246"/>
      <c r="M71" s="225" t="n">
        <f aca="false">L71</f>
        <v>0</v>
      </c>
      <c r="N71" s="247"/>
      <c r="O71" s="248"/>
      <c r="P71" s="246" t="n">
        <v>7083.675</v>
      </c>
      <c r="Q71" s="225" t="n">
        <f aca="false">P71</f>
        <v>7083.675</v>
      </c>
      <c r="R71" s="247"/>
      <c r="S71" s="248"/>
      <c r="T71" s="246" t="n">
        <v>9456.1</v>
      </c>
      <c r="U71" s="225" t="n">
        <f aca="false">T71</f>
        <v>9456.1</v>
      </c>
      <c r="V71" s="247"/>
      <c r="W71" s="248"/>
      <c r="X71" s="246" t="n">
        <v>0</v>
      </c>
      <c r="Y71" s="225" t="n">
        <f aca="false">X71</f>
        <v>0</v>
      </c>
      <c r="Z71" s="247"/>
      <c r="AA71" s="248"/>
      <c r="AB71" s="173" t="n">
        <f aca="false">IFERROR(X71/P71,0)</f>
        <v>0</v>
      </c>
      <c r="AC71" s="39"/>
    </row>
    <row r="72" customFormat="false" ht="15" hidden="false" customHeight="false" outlineLevel="0" collapsed="false">
      <c r="A72" s="222" t="s">
        <v>154</v>
      </c>
      <c r="B72" s="245" t="s">
        <v>155</v>
      </c>
      <c r="C72" s="229" t="s">
        <v>100</v>
      </c>
      <c r="D72" s="249"/>
      <c r="E72" s="225" t="n">
        <f aca="false">D72</f>
        <v>0</v>
      </c>
      <c r="F72" s="250"/>
      <c r="G72" s="251"/>
      <c r="H72" s="242" t="n">
        <v>11978.7248352307</v>
      </c>
      <c r="I72" s="225" t="n">
        <f aca="false">H72</f>
        <v>11978.7248352307</v>
      </c>
      <c r="J72" s="250"/>
      <c r="K72" s="251"/>
      <c r="L72" s="249"/>
      <c r="M72" s="225" t="n">
        <f aca="false">L72</f>
        <v>0</v>
      </c>
      <c r="N72" s="250"/>
      <c r="O72" s="251"/>
      <c r="P72" s="249" t="n">
        <v>0</v>
      </c>
      <c r="Q72" s="225" t="n">
        <f aca="false">P72</f>
        <v>0</v>
      </c>
      <c r="R72" s="250"/>
      <c r="S72" s="251"/>
      <c r="T72" s="242" t="n">
        <v>13643.59</v>
      </c>
      <c r="U72" s="225" t="n">
        <f aca="false">T72</f>
        <v>13643.59</v>
      </c>
      <c r="V72" s="250"/>
      <c r="W72" s="251"/>
      <c r="X72" s="246" t="n">
        <v>0</v>
      </c>
      <c r="Y72" s="225" t="n">
        <f aca="false">X72</f>
        <v>0</v>
      </c>
      <c r="Z72" s="250"/>
      <c r="AA72" s="251"/>
      <c r="AB72" s="238" t="n">
        <f aca="false">IFERROR(X72/P72,0)</f>
        <v>0</v>
      </c>
      <c r="AC72" s="39"/>
    </row>
    <row r="73" customFormat="false" ht="15.6" hidden="false" customHeight="false" outlineLevel="0" collapsed="false">
      <c r="A73" s="213" t="s">
        <v>156</v>
      </c>
      <c r="B73" s="243" t="s">
        <v>157</v>
      </c>
      <c r="C73" s="215" t="s">
        <v>90</v>
      </c>
      <c r="D73" s="217" t="n">
        <v>10987.6525678818</v>
      </c>
      <c r="E73" s="217" t="n">
        <f aca="false">D73</f>
        <v>10987.6525678818</v>
      </c>
      <c r="F73" s="218"/>
      <c r="G73" s="219"/>
      <c r="H73" s="217" t="n">
        <f aca="false">(H74*H75+H76*H77)/1000</f>
        <v>17150.92737</v>
      </c>
      <c r="I73" s="217" t="n">
        <f aca="false">H73</f>
        <v>17150.92737</v>
      </c>
      <c r="J73" s="218"/>
      <c r="K73" s="219"/>
      <c r="L73" s="217" t="n">
        <f aca="false">(L74*L75+L76*L77)/1000</f>
        <v>0</v>
      </c>
      <c r="M73" s="217" t="n">
        <f aca="false">L73</f>
        <v>0</v>
      </c>
      <c r="N73" s="218"/>
      <c r="O73" s="219"/>
      <c r="P73" s="217" t="n">
        <v>15338.2273117393</v>
      </c>
      <c r="Q73" s="217" t="n">
        <f aca="false">P73</f>
        <v>15338.2273117393</v>
      </c>
      <c r="R73" s="218"/>
      <c r="S73" s="219"/>
      <c r="T73" s="217" t="n">
        <f aca="false">(T74*T75+T76*T77)/1000</f>
        <v>20325.1124044267</v>
      </c>
      <c r="U73" s="217" t="n">
        <f aca="false">T73</f>
        <v>20325.1124044267</v>
      </c>
      <c r="V73" s="218"/>
      <c r="W73" s="219"/>
      <c r="X73" s="217" t="n">
        <f aca="false">(X74*X75+X76*X77)/1000</f>
        <v>0</v>
      </c>
      <c r="Y73" s="217" t="n">
        <f aca="false">X73</f>
        <v>0</v>
      </c>
      <c r="Z73" s="218"/>
      <c r="AA73" s="219"/>
      <c r="AB73" s="220" t="n">
        <f aca="false">IFERROR(X73/P73,0)</f>
        <v>0</v>
      </c>
      <c r="AC73" s="93"/>
      <c r="AD73" s="94"/>
      <c r="AE73" s="94"/>
      <c r="AF73" s="94"/>
      <c r="AG73" s="94"/>
    </row>
    <row r="74" customFormat="false" ht="15.6" hidden="false" customHeight="false" outlineLevel="0" collapsed="false">
      <c r="A74" s="222" t="s">
        <v>158</v>
      </c>
      <c r="B74" s="223" t="s">
        <v>159</v>
      </c>
      <c r="C74" s="229" t="s">
        <v>160</v>
      </c>
      <c r="D74" s="242"/>
      <c r="E74" s="225" t="n">
        <f aca="false">D74</f>
        <v>0</v>
      </c>
      <c r="F74" s="226"/>
      <c r="G74" s="227"/>
      <c r="H74" s="242" t="n">
        <v>1658</v>
      </c>
      <c r="I74" s="225" t="n">
        <f aca="false">H74</f>
        <v>1658</v>
      </c>
      <c r="J74" s="226"/>
      <c r="K74" s="227"/>
      <c r="L74" s="242"/>
      <c r="M74" s="225" t="n">
        <f aca="false">L74</f>
        <v>0</v>
      </c>
      <c r="N74" s="226"/>
      <c r="O74" s="227"/>
      <c r="P74" s="242" t="n">
        <v>1469.15999038795</v>
      </c>
      <c r="Q74" s="225" t="n">
        <f aca="false">P74</f>
        <v>1469.15999038795</v>
      </c>
      <c r="R74" s="226"/>
      <c r="S74" s="227"/>
      <c r="T74" s="242" t="n">
        <v>1658</v>
      </c>
      <c r="U74" s="225" t="n">
        <f aca="false">T74</f>
        <v>1658</v>
      </c>
      <c r="V74" s="226"/>
      <c r="W74" s="227"/>
      <c r="X74" s="242" t="n">
        <v>0</v>
      </c>
      <c r="Y74" s="225" t="n">
        <f aca="false">X74</f>
        <v>0</v>
      </c>
      <c r="Z74" s="226"/>
      <c r="AA74" s="227"/>
      <c r="AB74" s="173" t="n">
        <f aca="false">IFERROR(X74/P74,0)</f>
        <v>0</v>
      </c>
      <c r="AC74" s="39"/>
    </row>
    <row r="75" customFormat="false" ht="15.6" hidden="false" customHeight="false" outlineLevel="0" collapsed="false">
      <c r="A75" s="222" t="s">
        <v>161</v>
      </c>
      <c r="B75" s="223" t="s">
        <v>162</v>
      </c>
      <c r="C75" s="229" t="s">
        <v>100</v>
      </c>
      <c r="D75" s="242"/>
      <c r="E75" s="225" t="n">
        <f aca="false">D75</f>
        <v>0</v>
      </c>
      <c r="F75" s="226"/>
      <c r="G75" s="227"/>
      <c r="H75" s="242" t="n">
        <v>10344.347026538</v>
      </c>
      <c r="I75" s="225" t="n">
        <f aca="false">H75</f>
        <v>10344.347026538</v>
      </c>
      <c r="J75" s="226"/>
      <c r="K75" s="227"/>
      <c r="L75" s="242"/>
      <c r="M75" s="225" t="n">
        <f aca="false">L75</f>
        <v>0</v>
      </c>
      <c r="N75" s="226"/>
      <c r="O75" s="227"/>
      <c r="P75" s="242"/>
      <c r="Q75" s="225" t="n">
        <f aca="false">P75</f>
        <v>0</v>
      </c>
      <c r="R75" s="226"/>
      <c r="S75" s="227"/>
      <c r="T75" s="242" t="n">
        <v>12258.8132716687</v>
      </c>
      <c r="U75" s="225" t="n">
        <f aca="false">T75</f>
        <v>12258.8132716687</v>
      </c>
      <c r="V75" s="226"/>
      <c r="W75" s="227"/>
      <c r="X75" s="242" t="n">
        <v>0</v>
      </c>
      <c r="Y75" s="225" t="n">
        <f aca="false">X75</f>
        <v>0</v>
      </c>
      <c r="Z75" s="226"/>
      <c r="AA75" s="227"/>
      <c r="AB75" s="173" t="n">
        <f aca="false">IFERROR(X75/P75,0)</f>
        <v>0</v>
      </c>
      <c r="AC75" s="39"/>
    </row>
    <row r="76" customFormat="false" ht="18" hidden="false" customHeight="false" outlineLevel="0" collapsed="false">
      <c r="A76" s="222" t="s">
        <v>163</v>
      </c>
      <c r="B76" s="223" t="s">
        <v>164</v>
      </c>
      <c r="C76" s="229" t="s">
        <v>160</v>
      </c>
      <c r="D76" s="242"/>
      <c r="E76" s="225" t="n">
        <f aca="false">D76</f>
        <v>0</v>
      </c>
      <c r="F76" s="226"/>
      <c r="G76" s="227"/>
      <c r="H76" s="242"/>
      <c r="I76" s="225" t="n">
        <f aca="false">H76</f>
        <v>0</v>
      </c>
      <c r="J76" s="226"/>
      <c r="K76" s="227"/>
      <c r="L76" s="242"/>
      <c r="M76" s="225" t="n">
        <f aca="false">L76</f>
        <v>0</v>
      </c>
      <c r="N76" s="226"/>
      <c r="O76" s="227"/>
      <c r="P76" s="242"/>
      <c r="Q76" s="225" t="n">
        <f aca="false">P76</f>
        <v>0</v>
      </c>
      <c r="R76" s="226"/>
      <c r="S76" s="227"/>
      <c r="T76" s="242" t="n">
        <v>0</v>
      </c>
      <c r="U76" s="225" t="n">
        <f aca="false">T76</f>
        <v>0</v>
      </c>
      <c r="V76" s="226"/>
      <c r="W76" s="227"/>
      <c r="X76" s="242" t="n">
        <v>0</v>
      </c>
      <c r="Y76" s="225" t="n">
        <f aca="false">X76</f>
        <v>0</v>
      </c>
      <c r="Z76" s="226"/>
      <c r="AA76" s="227"/>
      <c r="AB76" s="173" t="n">
        <f aca="false">IFERROR(X76/P76,0)</f>
        <v>0</v>
      </c>
      <c r="AC76" s="228"/>
    </row>
    <row r="77" customFormat="false" ht="18" hidden="false" customHeight="false" outlineLevel="0" collapsed="false">
      <c r="A77" s="222" t="s">
        <v>165</v>
      </c>
      <c r="B77" s="223" t="s">
        <v>166</v>
      </c>
      <c r="C77" s="229" t="s">
        <v>100</v>
      </c>
      <c r="D77" s="242"/>
      <c r="E77" s="225" t="n">
        <f aca="false">D77</f>
        <v>0</v>
      </c>
      <c r="F77" s="226"/>
      <c r="G77" s="227"/>
      <c r="H77" s="242"/>
      <c r="I77" s="225" t="n">
        <f aca="false">H77</f>
        <v>0</v>
      </c>
      <c r="J77" s="226"/>
      <c r="K77" s="227"/>
      <c r="L77" s="242"/>
      <c r="M77" s="225" t="n">
        <f aca="false">L77</f>
        <v>0</v>
      </c>
      <c r="N77" s="226"/>
      <c r="O77" s="227"/>
      <c r="P77" s="242"/>
      <c r="Q77" s="225" t="n">
        <f aca="false">P77</f>
        <v>0</v>
      </c>
      <c r="R77" s="226"/>
      <c r="S77" s="227"/>
      <c r="T77" s="242" t="n">
        <v>0</v>
      </c>
      <c r="U77" s="225" t="n">
        <f aca="false">T77</f>
        <v>0</v>
      </c>
      <c r="V77" s="226"/>
      <c r="W77" s="227"/>
      <c r="X77" s="242" t="n">
        <v>0</v>
      </c>
      <c r="Y77" s="225" t="n">
        <f aca="false">X77</f>
        <v>0</v>
      </c>
      <c r="Z77" s="226"/>
      <c r="AA77" s="227"/>
      <c r="AB77" s="238" t="n">
        <f aca="false">IFERROR(X77/P77,0)</f>
        <v>0</v>
      </c>
      <c r="AC77" s="228"/>
    </row>
    <row r="78" customFormat="false" ht="15.6" hidden="false" customHeight="false" outlineLevel="0" collapsed="false">
      <c r="A78" s="213" t="s">
        <v>167</v>
      </c>
      <c r="B78" s="244" t="s">
        <v>168</v>
      </c>
      <c r="C78" s="215" t="s">
        <v>90</v>
      </c>
      <c r="D78" s="217" t="n">
        <v>12358.4907912034</v>
      </c>
      <c r="E78" s="217" t="n">
        <f aca="false">D78</f>
        <v>12358.4907912034</v>
      </c>
      <c r="F78" s="218"/>
      <c r="G78" s="219"/>
      <c r="H78" s="217" t="n">
        <f aca="false">H79*H80/1000</f>
        <v>15916.30577</v>
      </c>
      <c r="I78" s="217" t="n">
        <f aca="false">H78</f>
        <v>15916.30577</v>
      </c>
      <c r="J78" s="218"/>
      <c r="K78" s="219"/>
      <c r="L78" s="217" t="n">
        <f aca="false">L79*L80/1000</f>
        <v>0</v>
      </c>
      <c r="M78" s="217" t="n">
        <f aca="false">L78</f>
        <v>0</v>
      </c>
      <c r="N78" s="218"/>
      <c r="O78" s="219"/>
      <c r="P78" s="217" t="n">
        <v>15038.5162957232</v>
      </c>
      <c r="Q78" s="217" t="n">
        <f aca="false">P78</f>
        <v>15038.5162957232</v>
      </c>
      <c r="R78" s="218"/>
      <c r="S78" s="219"/>
      <c r="T78" s="217" t="n">
        <f aca="false">T79*T80/1000</f>
        <v>17900.626770473</v>
      </c>
      <c r="U78" s="217" t="n">
        <f aca="false">T78</f>
        <v>17900.626770473</v>
      </c>
      <c r="V78" s="218"/>
      <c r="W78" s="219"/>
      <c r="X78" s="217" t="n">
        <f aca="false">X79*X80/1000</f>
        <v>0</v>
      </c>
      <c r="Y78" s="217" t="n">
        <f aca="false">X78</f>
        <v>0</v>
      </c>
      <c r="Z78" s="218"/>
      <c r="AA78" s="219"/>
      <c r="AB78" s="220" t="n">
        <f aca="false">IFERROR(X78/P78,0)</f>
        <v>0</v>
      </c>
      <c r="AC78" s="221"/>
      <c r="AD78" s="94"/>
      <c r="AE78" s="94"/>
      <c r="AF78" s="94"/>
      <c r="AG78" s="94"/>
    </row>
    <row r="79" customFormat="false" ht="15.6" hidden="false" customHeight="false" outlineLevel="0" collapsed="false">
      <c r="A79" s="222" t="s">
        <v>169</v>
      </c>
      <c r="B79" s="245" t="s">
        <v>170</v>
      </c>
      <c r="C79" s="229" t="s">
        <v>160</v>
      </c>
      <c r="D79" s="242"/>
      <c r="E79" s="225" t="n">
        <v>0</v>
      </c>
      <c r="F79" s="226"/>
      <c r="G79" s="227"/>
      <c r="H79" s="242" t="n">
        <v>1658</v>
      </c>
      <c r="I79" s="225" t="n">
        <v>0</v>
      </c>
      <c r="J79" s="226"/>
      <c r="K79" s="227"/>
      <c r="L79" s="242"/>
      <c r="M79" s="225" t="n">
        <v>0</v>
      </c>
      <c r="N79" s="226"/>
      <c r="O79" s="227"/>
      <c r="P79" s="242" t="n">
        <v>1469.15999038795</v>
      </c>
      <c r="Q79" s="225" t="n">
        <v>0</v>
      </c>
      <c r="R79" s="226"/>
      <c r="S79" s="227"/>
      <c r="T79" s="242" t="n">
        <v>1658</v>
      </c>
      <c r="U79" s="225" t="n">
        <f aca="false">T79</f>
        <v>1658</v>
      </c>
      <c r="V79" s="226"/>
      <c r="W79" s="227"/>
      <c r="X79" s="242" t="n">
        <v>0</v>
      </c>
      <c r="Y79" s="225" t="n">
        <v>0</v>
      </c>
      <c r="Z79" s="226"/>
      <c r="AA79" s="227"/>
      <c r="AB79" s="173" t="n">
        <f aca="false">IFERROR(X79/P79,0)</f>
        <v>0</v>
      </c>
      <c r="AC79" s="228"/>
    </row>
    <row r="80" customFormat="false" ht="15.6" hidden="false" customHeight="false" outlineLevel="0" collapsed="false">
      <c r="A80" s="222" t="s">
        <v>171</v>
      </c>
      <c r="B80" s="245" t="s">
        <v>172</v>
      </c>
      <c r="C80" s="229" t="s">
        <v>100</v>
      </c>
      <c r="D80" s="242"/>
      <c r="E80" s="225" t="n">
        <v>0</v>
      </c>
      <c r="F80" s="226"/>
      <c r="G80" s="227"/>
      <c r="H80" s="242" t="n">
        <v>9599.7019119421</v>
      </c>
      <c r="I80" s="225" t="n">
        <v>0</v>
      </c>
      <c r="J80" s="226"/>
      <c r="K80" s="227"/>
      <c r="L80" s="242"/>
      <c r="M80" s="225" t="n">
        <v>0</v>
      </c>
      <c r="N80" s="226"/>
      <c r="O80" s="227"/>
      <c r="P80" s="242"/>
      <c r="Q80" s="225" t="n">
        <v>0</v>
      </c>
      <c r="R80" s="226"/>
      <c r="S80" s="227"/>
      <c r="T80" s="242" t="n">
        <v>10796.5179556532</v>
      </c>
      <c r="U80" s="225" t="n">
        <f aca="false">T80</f>
        <v>10796.5179556532</v>
      </c>
      <c r="V80" s="226"/>
      <c r="W80" s="227"/>
      <c r="X80" s="242" t="n">
        <v>0</v>
      </c>
      <c r="Y80" s="225" t="n">
        <v>0</v>
      </c>
      <c r="Z80" s="226"/>
      <c r="AA80" s="227"/>
      <c r="AB80" s="238" t="n">
        <f aca="false">IFERROR(X80/P80,0)</f>
        <v>0</v>
      </c>
      <c r="AC80" s="228"/>
    </row>
    <row r="81" customFormat="false" ht="15.75" hidden="false" customHeight="false" outlineLevel="0" collapsed="false">
      <c r="A81" s="213" t="s">
        <v>173</v>
      </c>
      <c r="B81" s="252" t="s">
        <v>174</v>
      </c>
      <c r="C81" s="253" t="s">
        <v>90</v>
      </c>
      <c r="D81" s="254"/>
      <c r="E81" s="255" t="n">
        <f aca="false">D81</f>
        <v>0</v>
      </c>
      <c r="F81" s="256"/>
      <c r="G81" s="257"/>
      <c r="H81" s="254"/>
      <c r="I81" s="255" t="n">
        <f aca="false">H81</f>
        <v>0</v>
      </c>
      <c r="J81" s="256"/>
      <c r="K81" s="257"/>
      <c r="L81" s="254"/>
      <c r="M81" s="255" t="n">
        <f aca="false">L81</f>
        <v>0</v>
      </c>
      <c r="N81" s="256"/>
      <c r="O81" s="257"/>
      <c r="P81" s="254"/>
      <c r="Q81" s="255" t="n">
        <f aca="false">P81</f>
        <v>0</v>
      </c>
      <c r="R81" s="256"/>
      <c r="S81" s="257"/>
      <c r="T81" s="242" t="n">
        <v>0</v>
      </c>
      <c r="U81" s="255" t="n">
        <f aca="false">T81</f>
        <v>0</v>
      </c>
      <c r="V81" s="256"/>
      <c r="W81" s="257"/>
      <c r="X81" s="242" t="n">
        <v>0</v>
      </c>
      <c r="Y81" s="255" t="n">
        <f aca="false">X81</f>
        <v>0</v>
      </c>
      <c r="Z81" s="256"/>
      <c r="AA81" s="257"/>
      <c r="AB81" s="220" t="n">
        <f aca="false">IFERROR(X81/P81,0)</f>
        <v>0</v>
      </c>
      <c r="AC81" s="258"/>
      <c r="AD81" s="94"/>
      <c r="AE81" s="94"/>
      <c r="AF81" s="94"/>
      <c r="AG81" s="94"/>
    </row>
    <row r="82" customFormat="false" ht="30.75" hidden="false" customHeight="false" outlineLevel="0" collapsed="false">
      <c r="A82" s="259" t="s">
        <v>175</v>
      </c>
      <c r="B82" s="260" t="s">
        <v>176</v>
      </c>
      <c r="C82" s="261" t="s">
        <v>90</v>
      </c>
      <c r="D82" s="262" t="n">
        <f aca="false">D42+D60+D67+D70+D73+D78+D81</f>
        <v>442111.074412733</v>
      </c>
      <c r="E82" s="263" t="n">
        <f aca="false">E42+E60+E67+E70+E73+E78+E81</f>
        <v>442111.074412733</v>
      </c>
      <c r="F82" s="264" t="n">
        <f aca="false">F42+F60+F67+F70+F73+F78+F81</f>
        <v>0</v>
      </c>
      <c r="G82" s="265" t="n">
        <f aca="false">G42+G60+G67+G70+G73+G78+G81</f>
        <v>0</v>
      </c>
      <c r="H82" s="262" t="n">
        <f aca="false">H42+H60+H67+H70+H73+H78+H81</f>
        <v>467851.231080001</v>
      </c>
      <c r="I82" s="263" t="n">
        <f aca="false">I42+I60+I67+I70+I73+I78+I81</f>
        <v>467851.231080001</v>
      </c>
      <c r="J82" s="264" t="n">
        <f aca="false">J42+J60+J67+J70+J73+J78+J81</f>
        <v>0</v>
      </c>
      <c r="K82" s="265" t="n">
        <f aca="false">K42+K60+K67+K70+K73+K78+K81</f>
        <v>0</v>
      </c>
      <c r="L82" s="262" t="n">
        <f aca="false">L42+L60+L67+L70+L73+L78+L81</f>
        <v>0</v>
      </c>
      <c r="M82" s="263" t="n">
        <f aca="false">M42+M60+M67+M70+M73+M78+M81</f>
        <v>0</v>
      </c>
      <c r="N82" s="264" t="n">
        <f aca="false">N42+N60+N67+N70+N73+N78+N81</f>
        <v>0</v>
      </c>
      <c r="O82" s="265" t="n">
        <f aca="false">O42+O60+O67+O70+O73+O78+O81</f>
        <v>0</v>
      </c>
      <c r="P82" s="262" t="n">
        <f aca="false">P42+P60+P67+P70+P73+P78+P81</f>
        <v>508429.58408133</v>
      </c>
      <c r="Q82" s="263" t="n">
        <f aca="false">Q42+Q60+Q67+Q70+Q73+Q78+Q81</f>
        <v>508429.58408133</v>
      </c>
      <c r="R82" s="264" t="n">
        <f aca="false">R42+R60+R67+R70+R73+R78+R81</f>
        <v>0</v>
      </c>
      <c r="S82" s="265" t="n">
        <f aca="false">S42+S60+S67+S70+S73+S78+S81</f>
        <v>0</v>
      </c>
      <c r="T82" s="262" t="n">
        <f aca="false">T42+T60+T67+T70+T73+T78+T81</f>
        <v>566642.034133988</v>
      </c>
      <c r="U82" s="263" t="n">
        <f aca="false">U42+U60+U67+U70+U73+U78+U81</f>
        <v>566642.034133988</v>
      </c>
      <c r="V82" s="264" t="n">
        <f aca="false">V42+V60+V67+V70+V73+V78+V81</f>
        <v>0</v>
      </c>
      <c r="W82" s="265" t="n">
        <f aca="false">W42+W60+W67+W70+W73+W78+W81</f>
        <v>0</v>
      </c>
      <c r="X82" s="262" t="n">
        <f aca="false">X42+X60+X67+X70+X73+X78+X81</f>
        <v>0</v>
      </c>
      <c r="Y82" s="263" t="n">
        <f aca="false">Y42+Y60+Y67+Y70+Y73+Y78+Y81</f>
        <v>0</v>
      </c>
      <c r="Z82" s="264" t="n">
        <f aca="false">Z42+Z60+Z67+Z70+Z73+Z78+Z81</f>
        <v>0</v>
      </c>
      <c r="AA82" s="265" t="n">
        <f aca="false">AA42+AA60+AA67+AA70+AA73+AA78+AA81</f>
        <v>0</v>
      </c>
      <c r="AB82" s="266" t="n">
        <f aca="false">IFERROR(X82/P82,0)</f>
        <v>0</v>
      </c>
      <c r="AC82" s="267"/>
      <c r="AD82" s="94"/>
      <c r="AE82" s="268"/>
      <c r="AF82" s="94"/>
      <c r="AG82" s="94"/>
    </row>
    <row r="83" customFormat="false" ht="15.75" hidden="false" customHeight="false" outlineLevel="0" collapsed="false">
      <c r="A83" s="269" t="s">
        <v>177</v>
      </c>
      <c r="B83" s="270" t="s">
        <v>178</v>
      </c>
      <c r="C83" s="271" t="s">
        <v>90</v>
      </c>
      <c r="D83" s="272"/>
      <c r="E83" s="273"/>
      <c r="F83" s="274"/>
      <c r="G83" s="275"/>
      <c r="H83" s="276"/>
      <c r="I83" s="277"/>
      <c r="J83" s="274"/>
      <c r="K83" s="275"/>
      <c r="L83" s="276"/>
      <c r="M83" s="277"/>
      <c r="N83" s="274"/>
      <c r="O83" s="275"/>
      <c r="P83" s="276"/>
      <c r="Q83" s="277"/>
      <c r="R83" s="274"/>
      <c r="S83" s="275"/>
      <c r="T83" s="276"/>
      <c r="U83" s="277"/>
      <c r="V83" s="274"/>
      <c r="W83" s="275"/>
      <c r="X83" s="276"/>
      <c r="Y83" s="277"/>
      <c r="Z83" s="274"/>
      <c r="AA83" s="275"/>
      <c r="AB83" s="278"/>
      <c r="AC83" s="279"/>
      <c r="AD83" s="280"/>
      <c r="AE83" s="280"/>
      <c r="AF83" s="280"/>
      <c r="AG83" s="280"/>
    </row>
    <row r="84" customFormat="false" ht="15.75" hidden="false" customHeight="false" outlineLevel="0" collapsed="false">
      <c r="A84" s="17" t="s">
        <v>179</v>
      </c>
      <c r="B84" s="137" t="s">
        <v>180</v>
      </c>
      <c r="C84" s="137"/>
      <c r="D84" s="137"/>
      <c r="E84" s="137"/>
      <c r="F84" s="137"/>
      <c r="G84" s="137"/>
      <c r="H84" s="137"/>
      <c r="I84" s="137"/>
      <c r="J84" s="137"/>
      <c r="K84" s="137"/>
      <c r="L84" s="137"/>
      <c r="M84" s="137"/>
      <c r="N84" s="137"/>
      <c r="O84" s="137"/>
      <c r="P84" s="137"/>
      <c r="Q84" s="137"/>
      <c r="R84" s="137"/>
      <c r="S84" s="137"/>
      <c r="T84" s="137"/>
      <c r="U84" s="137"/>
      <c r="V84" s="137"/>
      <c r="W84" s="137"/>
      <c r="X84" s="137"/>
      <c r="Y84" s="137"/>
      <c r="Z84" s="137"/>
      <c r="AA84" s="137"/>
      <c r="AB84" s="142"/>
      <c r="AC84" s="143"/>
    </row>
    <row r="85" customFormat="false" ht="15" hidden="false" customHeight="false" outlineLevel="0" collapsed="false">
      <c r="A85" s="281" t="s">
        <v>181</v>
      </c>
      <c r="B85" s="282" t="s">
        <v>182</v>
      </c>
      <c r="C85" s="283" t="s">
        <v>90</v>
      </c>
      <c r="D85" s="207" t="n">
        <f aca="false">SUM(E85:G85)</f>
        <v>8569.89585238426</v>
      </c>
      <c r="E85" s="284" t="n">
        <v>8569.89585238426</v>
      </c>
      <c r="F85" s="285"/>
      <c r="G85" s="286"/>
      <c r="H85" s="207" t="n">
        <f aca="false">SUM(I85:K85)</f>
        <v>7487.89816679631</v>
      </c>
      <c r="I85" s="284" t="n">
        <v>7487.89816679631</v>
      </c>
      <c r="J85" s="285"/>
      <c r="K85" s="286"/>
      <c r="L85" s="207" t="n">
        <f aca="false">SUM(M85:O85)</f>
        <v>0</v>
      </c>
      <c r="M85" s="284"/>
      <c r="N85" s="285"/>
      <c r="O85" s="286"/>
      <c r="P85" s="207" t="n">
        <f aca="false">SUM(Q85:S85)</f>
        <v>8704.27181934964</v>
      </c>
      <c r="Q85" s="284" t="n">
        <v>8704.27181934964</v>
      </c>
      <c r="R85" s="285"/>
      <c r="S85" s="286"/>
      <c r="T85" s="207" t="n">
        <f aca="false">SUM(U85:W85)</f>
        <v>8328.3</v>
      </c>
      <c r="U85" s="284" t="n">
        <v>8328.3</v>
      </c>
      <c r="V85" s="285" t="n">
        <f aca="false">R85*$V$40</f>
        <v>0</v>
      </c>
      <c r="W85" s="286" t="n">
        <v>0</v>
      </c>
      <c r="X85" s="207" t="n">
        <f aca="false">SUM(Y85:AA85)</f>
        <v>8356.10094657565</v>
      </c>
      <c r="Y85" s="284" t="n">
        <f aca="false">Q85*$Y$40</f>
        <v>8356.10094657565</v>
      </c>
      <c r="Z85" s="285" t="n">
        <f aca="false">R85*$Z$40</f>
        <v>0</v>
      </c>
      <c r="AA85" s="286" t="n">
        <v>0</v>
      </c>
      <c r="AB85" s="211" t="n">
        <f aca="false">IFERROR(X85/P85,0)</f>
        <v>0.96</v>
      </c>
      <c r="AC85" s="287"/>
    </row>
    <row r="86" customFormat="false" ht="15" hidden="false" customHeight="false" outlineLevel="0" collapsed="false">
      <c r="A86" s="288" t="s">
        <v>183</v>
      </c>
      <c r="B86" s="289" t="s">
        <v>184</v>
      </c>
      <c r="C86" s="290" t="s">
        <v>90</v>
      </c>
      <c r="D86" s="291" t="n">
        <f aca="false">SUM(D87:D89)</f>
        <v>79888.218624</v>
      </c>
      <c r="E86" s="292" t="n">
        <f aca="false">SUM(E87:E89)</f>
        <v>79888.218624</v>
      </c>
      <c r="F86" s="293" t="n">
        <f aca="false">SUM(F87:F89)</f>
        <v>0</v>
      </c>
      <c r="G86" s="294" t="n">
        <f aca="false">SUM(G87:G89)</f>
        <v>0</v>
      </c>
      <c r="H86" s="291" t="n">
        <f aca="false">SUM(H87:H89)</f>
        <v>212766.93027</v>
      </c>
      <c r="I86" s="292" t="n">
        <f aca="false">SUM(I87:I89)</f>
        <v>212766.93027</v>
      </c>
      <c r="J86" s="293" t="n">
        <f aca="false">SUM(J87:J89)</f>
        <v>0</v>
      </c>
      <c r="K86" s="294" t="n">
        <f aca="false">SUM(K87:K89)</f>
        <v>0</v>
      </c>
      <c r="L86" s="291" t="n">
        <f aca="false">SUM(L87:L89)</f>
        <v>0</v>
      </c>
      <c r="M86" s="292" t="n">
        <f aca="false">SUM(M87:M89)</f>
        <v>0</v>
      </c>
      <c r="N86" s="293" t="n">
        <f aca="false">SUM(N87:N89)</f>
        <v>0</v>
      </c>
      <c r="O86" s="294" t="n">
        <f aca="false">SUM(O87:O89)</f>
        <v>0</v>
      </c>
      <c r="P86" s="291" t="n">
        <f aca="false">SUM(P87:P89)</f>
        <v>81140.8658920243</v>
      </c>
      <c r="Q86" s="292" t="n">
        <f aca="false">SUM(Q87:Q89)</f>
        <v>81140.8658920243</v>
      </c>
      <c r="R86" s="293" t="n">
        <f aca="false">SUM(R87:R89)</f>
        <v>0</v>
      </c>
      <c r="S86" s="294" t="n">
        <f aca="false">SUM(S87:S89)</f>
        <v>0</v>
      </c>
      <c r="T86" s="291" t="n">
        <f aca="false">SUM(T87:T89)</f>
        <v>187511.71</v>
      </c>
      <c r="U86" s="292" t="n">
        <f aca="false">SUM(U87:U89)</f>
        <v>187511.71</v>
      </c>
      <c r="V86" s="293" t="n">
        <f aca="false">SUM(V87:V89)</f>
        <v>0</v>
      </c>
      <c r="W86" s="294" t="n">
        <f aca="false">SUM(W87:W89)</f>
        <v>0</v>
      </c>
      <c r="X86" s="291" t="n">
        <f aca="false">SUM(X87:X89)</f>
        <v>77895.2312563433</v>
      </c>
      <c r="Y86" s="292" t="n">
        <f aca="false">SUM(Y87:Y89)</f>
        <v>77895.2312563433</v>
      </c>
      <c r="Z86" s="293" t="n">
        <f aca="false">SUM(Z87:Z89)</f>
        <v>0</v>
      </c>
      <c r="AA86" s="294" t="n">
        <f aca="false">SUM(AA87:AA89)</f>
        <v>0</v>
      </c>
      <c r="AB86" s="220" t="n">
        <f aca="false">IFERROR(X86/P86,0)</f>
        <v>0.96</v>
      </c>
      <c r="AC86" s="295"/>
    </row>
    <row r="87" customFormat="false" ht="15" hidden="false" customHeight="false" outlineLevel="0" collapsed="false">
      <c r="A87" s="296" t="s">
        <v>185</v>
      </c>
      <c r="B87" s="297" t="s">
        <v>186</v>
      </c>
      <c r="C87" s="158" t="s">
        <v>90</v>
      </c>
      <c r="D87" s="298" t="n">
        <f aca="false">SUM(E87:G87)</f>
        <v>0</v>
      </c>
      <c r="E87" s="299"/>
      <c r="F87" s="175"/>
      <c r="G87" s="300"/>
      <c r="H87" s="298" t="n">
        <f aca="false">SUM(I87:K87)</f>
        <v>40028.28937</v>
      </c>
      <c r="I87" s="299" t="n">
        <v>40028.28937</v>
      </c>
      <c r="J87" s="175"/>
      <c r="K87" s="300"/>
      <c r="L87" s="298" t="n">
        <f aca="false">SUM(M87:O87)</f>
        <v>0</v>
      </c>
      <c r="M87" s="299"/>
      <c r="N87" s="175"/>
      <c r="O87" s="300"/>
      <c r="P87" s="298" t="n">
        <f aca="false">SUM(Q87:S87)</f>
        <v>0</v>
      </c>
      <c r="Q87" s="299"/>
      <c r="R87" s="175"/>
      <c r="S87" s="300"/>
      <c r="T87" s="298" t="n">
        <f aca="false">SUM(U87:W87)</f>
        <v>48225.15</v>
      </c>
      <c r="U87" s="299" t="n">
        <v>48225.15</v>
      </c>
      <c r="V87" s="175" t="n">
        <f aca="false">R87*$V$40</f>
        <v>0</v>
      </c>
      <c r="W87" s="300" t="n">
        <v>0</v>
      </c>
      <c r="X87" s="298" t="n">
        <f aca="false">SUM(Y87:AA87)</f>
        <v>0</v>
      </c>
      <c r="Y87" s="299" t="n">
        <f aca="false">Q87*$Y$40</f>
        <v>0</v>
      </c>
      <c r="Z87" s="175" t="n">
        <f aca="false">R87*$Z$40</f>
        <v>0</v>
      </c>
      <c r="AA87" s="300" t="n">
        <v>0</v>
      </c>
      <c r="AB87" s="173" t="n">
        <f aca="false">IFERROR(X87/P87,0)</f>
        <v>0</v>
      </c>
      <c r="AC87" s="295"/>
    </row>
    <row r="88" customFormat="false" ht="15" hidden="false" customHeight="false" outlineLevel="0" collapsed="false">
      <c r="A88" s="296" t="s">
        <v>187</v>
      </c>
      <c r="B88" s="297" t="s">
        <v>188</v>
      </c>
      <c r="C88" s="158" t="s">
        <v>90</v>
      </c>
      <c r="D88" s="298" t="n">
        <f aca="false">SUM(E88:G88)</f>
        <v>79888.218624</v>
      </c>
      <c r="E88" s="299" t="n">
        <v>79888.218624</v>
      </c>
      <c r="F88" s="175"/>
      <c r="G88" s="300"/>
      <c r="H88" s="298" t="n">
        <f aca="false">SUM(I88:K88)</f>
        <v>172738.6409</v>
      </c>
      <c r="I88" s="299" t="n">
        <v>172738.6409</v>
      </c>
      <c r="J88" s="175"/>
      <c r="K88" s="300"/>
      <c r="L88" s="298" t="n">
        <f aca="false">SUM(M88:O88)</f>
        <v>0</v>
      </c>
      <c r="M88" s="299"/>
      <c r="N88" s="175"/>
      <c r="O88" s="300"/>
      <c r="P88" s="298" t="n">
        <f aca="false">SUM(Q88:S88)</f>
        <v>81140.8658920243</v>
      </c>
      <c r="Q88" s="299" t="n">
        <v>81140.8658920243</v>
      </c>
      <c r="R88" s="175"/>
      <c r="S88" s="300"/>
      <c r="T88" s="298" t="n">
        <f aca="false">SUM(U88:W88)</f>
        <v>139286.56</v>
      </c>
      <c r="U88" s="299" t="n">
        <f aca="false">84685.43+54601.13</f>
        <v>139286.56</v>
      </c>
      <c r="V88" s="175" t="n">
        <f aca="false">R88*$V$40</f>
        <v>0</v>
      </c>
      <c r="W88" s="300" t="n">
        <v>0</v>
      </c>
      <c r="X88" s="298" t="n">
        <f aca="false">SUM(Y88:AA88)</f>
        <v>77895.2312563433</v>
      </c>
      <c r="Y88" s="299" t="n">
        <f aca="false">Q88*$Y$40</f>
        <v>77895.2312563433</v>
      </c>
      <c r="Z88" s="175" t="n">
        <f aca="false">R88*$Z$40</f>
        <v>0</v>
      </c>
      <c r="AA88" s="300" t="n">
        <v>0</v>
      </c>
      <c r="AB88" s="173" t="n">
        <f aca="false">IFERROR(X88/P88,0)</f>
        <v>0.96</v>
      </c>
      <c r="AC88" s="295"/>
    </row>
    <row r="89" customFormat="false" ht="45" hidden="false" customHeight="false" outlineLevel="0" collapsed="false">
      <c r="A89" s="296" t="s">
        <v>189</v>
      </c>
      <c r="B89" s="297" t="s">
        <v>190</v>
      </c>
      <c r="C89" s="158" t="s">
        <v>90</v>
      </c>
      <c r="D89" s="298" t="n">
        <f aca="false">SUM(E89:G89)</f>
        <v>0</v>
      </c>
      <c r="E89" s="299"/>
      <c r="F89" s="175"/>
      <c r="G89" s="300"/>
      <c r="H89" s="298" t="n">
        <f aca="false">SUM(I89:K89)</f>
        <v>0</v>
      </c>
      <c r="I89" s="299"/>
      <c r="J89" s="175"/>
      <c r="K89" s="300"/>
      <c r="L89" s="298" t="n">
        <f aca="false">SUM(M89:O89)</f>
        <v>0</v>
      </c>
      <c r="M89" s="299"/>
      <c r="N89" s="175"/>
      <c r="O89" s="300"/>
      <c r="P89" s="298" t="n">
        <f aca="false">SUM(Q89:S89)</f>
        <v>0</v>
      </c>
      <c r="Q89" s="299"/>
      <c r="R89" s="175"/>
      <c r="S89" s="300"/>
      <c r="T89" s="298" t="n">
        <f aca="false">SUM(U89:W89)</f>
        <v>0</v>
      </c>
      <c r="U89" s="299" t="n">
        <f aca="false">Q89*$U$40</f>
        <v>0</v>
      </c>
      <c r="V89" s="175" t="n">
        <f aca="false">R89*$V$40</f>
        <v>0</v>
      </c>
      <c r="W89" s="300" t="n">
        <v>0</v>
      </c>
      <c r="X89" s="298" t="n">
        <f aca="false">SUM(Y89:AA89)</f>
        <v>0</v>
      </c>
      <c r="Y89" s="299" t="n">
        <f aca="false">Q89*$Y$40</f>
        <v>0</v>
      </c>
      <c r="Z89" s="175" t="n">
        <f aca="false">R89*$Z$40</f>
        <v>0</v>
      </c>
      <c r="AA89" s="300" t="n">
        <v>0</v>
      </c>
      <c r="AB89" s="173" t="n">
        <f aca="false">IFERROR(X89/P89,0)</f>
        <v>0</v>
      </c>
      <c r="AC89" s="295"/>
    </row>
    <row r="90" customFormat="false" ht="30" hidden="false" customHeight="false" outlineLevel="0" collapsed="false">
      <c r="A90" s="288" t="s">
        <v>191</v>
      </c>
      <c r="B90" s="289" t="s">
        <v>192</v>
      </c>
      <c r="C90" s="290" t="s">
        <v>90</v>
      </c>
      <c r="D90" s="291" t="n">
        <f aca="false">D91+D94+D97+D100</f>
        <v>265028.125242137</v>
      </c>
      <c r="E90" s="292" t="n">
        <f aca="false">E91+E94+E97+E100</f>
        <v>265028.125242137</v>
      </c>
      <c r="F90" s="293" t="n">
        <f aca="false">F91+F94+F97+F100</f>
        <v>0</v>
      </c>
      <c r="G90" s="294" t="n">
        <f aca="false">G91+G94+G97+G100</f>
        <v>0</v>
      </c>
      <c r="H90" s="291" t="n">
        <f aca="false">H91+H94+H97+H100</f>
        <v>455669.670246771</v>
      </c>
      <c r="I90" s="292" t="n">
        <f aca="false">I91+I94+I97+I100</f>
        <v>455669.670246771</v>
      </c>
      <c r="J90" s="293" t="n">
        <f aca="false">J91+J94+J97+J100</f>
        <v>0</v>
      </c>
      <c r="K90" s="294" t="n">
        <f aca="false">K91+K94+K97+K100</f>
        <v>0</v>
      </c>
      <c r="L90" s="291" t="n">
        <f aca="false">L91+L94+L97+L100</f>
        <v>0</v>
      </c>
      <c r="M90" s="292" t="n">
        <f aca="false">M91+M94+M97+M100</f>
        <v>0</v>
      </c>
      <c r="N90" s="293" t="n">
        <f aca="false">N91+N94+N97+N100</f>
        <v>0</v>
      </c>
      <c r="O90" s="294" t="n">
        <f aca="false">O91+O94+O97+O100</f>
        <v>0</v>
      </c>
      <c r="P90" s="291" t="n">
        <f aca="false">P91+P94+P97+P100</f>
        <v>269183.766245933</v>
      </c>
      <c r="Q90" s="292" t="n">
        <f aca="false">Q91+Q94+Q97+Q100</f>
        <v>269183.766245933</v>
      </c>
      <c r="R90" s="293" t="n">
        <f aca="false">R91+R94+R97+R100</f>
        <v>0</v>
      </c>
      <c r="S90" s="294" t="n">
        <f aca="false">S91+S94+S97+S100</f>
        <v>0</v>
      </c>
      <c r="T90" s="291" t="n">
        <f aca="false">T91+T94+T97+T100</f>
        <v>502828.74709929</v>
      </c>
      <c r="U90" s="292" t="n">
        <f aca="false">U91+U94+U97+U100</f>
        <v>502828.74709929</v>
      </c>
      <c r="V90" s="293" t="n">
        <f aca="false">V91+V94+V97+V100</f>
        <v>0</v>
      </c>
      <c r="W90" s="294" t="n">
        <f aca="false">W91+W94+W97+W100</f>
        <v>0</v>
      </c>
      <c r="X90" s="291" t="n">
        <f aca="false">X91+X94+X97+X100</f>
        <v>258416.415596096</v>
      </c>
      <c r="Y90" s="292" t="n">
        <f aca="false">Y91+Y94+Y97+Y100</f>
        <v>258416.415596096</v>
      </c>
      <c r="Z90" s="293" t="n">
        <f aca="false">Z91+Z94+Z97+Z100</f>
        <v>0</v>
      </c>
      <c r="AA90" s="294" t="n">
        <f aca="false">AA91+AA94+AA97+AA100</f>
        <v>0</v>
      </c>
      <c r="AB90" s="220" t="n">
        <f aca="false">IFERROR(X90/P90,0)</f>
        <v>0.96</v>
      </c>
      <c r="AC90" s="295"/>
    </row>
    <row r="91" customFormat="false" ht="15" hidden="false" customHeight="false" outlineLevel="0" collapsed="false">
      <c r="A91" s="288" t="s">
        <v>193</v>
      </c>
      <c r="B91" s="301" t="s">
        <v>194</v>
      </c>
      <c r="C91" s="290" t="s">
        <v>90</v>
      </c>
      <c r="D91" s="291" t="n">
        <f aca="false">SUM(E91:G91)</f>
        <v>196078.015604849</v>
      </c>
      <c r="E91" s="292" t="n">
        <f aca="false">E92*E93*12/1000</f>
        <v>196078.015604849</v>
      </c>
      <c r="F91" s="293" t="n">
        <f aca="false">F92*F93*12/1000</f>
        <v>0</v>
      </c>
      <c r="G91" s="294" t="n">
        <f aca="false">G92*G93*12/1000</f>
        <v>0</v>
      </c>
      <c r="H91" s="291" t="n">
        <f aca="false">SUM(I91:K91)</f>
        <v>349490.198064194</v>
      </c>
      <c r="I91" s="292" t="n">
        <f aca="false">I92*I93*12/1000</f>
        <v>349490.198064194</v>
      </c>
      <c r="J91" s="293" t="n">
        <f aca="false">J92*J93*12/1000</f>
        <v>0</v>
      </c>
      <c r="K91" s="294" t="n">
        <f aca="false">K92*K93*12/1000</f>
        <v>0</v>
      </c>
      <c r="L91" s="291" t="n">
        <f aca="false">SUM(M91:O91)</f>
        <v>0</v>
      </c>
      <c r="M91" s="292" t="n">
        <f aca="false">M92*M93*12/1000</f>
        <v>0</v>
      </c>
      <c r="N91" s="293" t="n">
        <f aca="false">N92*N93*12/1000</f>
        <v>0</v>
      </c>
      <c r="O91" s="294" t="n">
        <f aca="false">O92*O93*12/1000</f>
        <v>0</v>
      </c>
      <c r="P91" s="291" t="n">
        <f aca="false">SUM(Q91:S91)</f>
        <v>199152.518889533</v>
      </c>
      <c r="Q91" s="292" t="n">
        <f aca="false">Q92*Q93*12/1000</f>
        <v>199152.518889533</v>
      </c>
      <c r="R91" s="293" t="n">
        <f aca="false">R92*R93*12/1000</f>
        <v>0</v>
      </c>
      <c r="S91" s="294" t="n">
        <f aca="false">S92*S93*12/1000</f>
        <v>0</v>
      </c>
      <c r="T91" s="291" t="n">
        <f aca="false">SUM(U91:W91)</f>
        <v>385660.336622649</v>
      </c>
      <c r="U91" s="292" t="n">
        <f aca="false">U92*U93*12/1000</f>
        <v>385660.336622649</v>
      </c>
      <c r="V91" s="293" t="n">
        <f aca="false">R91*$V$40</f>
        <v>0</v>
      </c>
      <c r="W91" s="302" t="n">
        <v>0</v>
      </c>
      <c r="X91" s="291" t="n">
        <f aca="false">SUM(Y91:AA91)</f>
        <v>191186.418133952</v>
      </c>
      <c r="Y91" s="292" t="n">
        <f aca="false">Y92*Y93*12/1000</f>
        <v>191186.418133952</v>
      </c>
      <c r="Z91" s="293" t="n">
        <f aca="false">R91*$Z$40</f>
        <v>0</v>
      </c>
      <c r="AA91" s="302" t="n">
        <v>0</v>
      </c>
      <c r="AB91" s="173" t="n">
        <f aca="false">IFERROR(X91/P91,0)</f>
        <v>0.96</v>
      </c>
      <c r="AC91" s="303"/>
      <c r="AD91" s="94"/>
      <c r="AE91" s="94"/>
      <c r="AF91" s="94"/>
      <c r="AG91" s="94"/>
    </row>
    <row r="92" customFormat="false" ht="15" hidden="false" customHeight="false" outlineLevel="0" collapsed="false">
      <c r="A92" s="296" t="s">
        <v>195</v>
      </c>
      <c r="B92" s="297" t="s">
        <v>196</v>
      </c>
      <c r="C92" s="158" t="s">
        <v>197</v>
      </c>
      <c r="D92" s="304" t="n">
        <f aca="false">SUM(E92:G92)</f>
        <v>126.1</v>
      </c>
      <c r="E92" s="299" t="n">
        <v>126.1</v>
      </c>
      <c r="F92" s="175"/>
      <c r="G92" s="300"/>
      <c r="H92" s="304" t="n">
        <f aca="false">SUM(I92:K92)</f>
        <v>127</v>
      </c>
      <c r="I92" s="299" t="n">
        <v>127</v>
      </c>
      <c r="J92" s="175"/>
      <c r="K92" s="300"/>
      <c r="L92" s="304" t="n">
        <f aca="false">SUM(M92:O92)</f>
        <v>0</v>
      </c>
      <c r="M92" s="299"/>
      <c r="N92" s="175"/>
      <c r="O92" s="300"/>
      <c r="P92" s="304" t="n">
        <f aca="false">SUM(Q92:S92)</f>
        <v>126.1</v>
      </c>
      <c r="Q92" s="299" t="n">
        <v>126.1</v>
      </c>
      <c r="R92" s="175"/>
      <c r="S92" s="300"/>
      <c r="T92" s="304" t="n">
        <f aca="false">SUM(U92:W92)</f>
        <v>127</v>
      </c>
      <c r="U92" s="299" t="n">
        <v>127</v>
      </c>
      <c r="V92" s="175" t="n">
        <f aca="false">R92</f>
        <v>0</v>
      </c>
      <c r="W92" s="300" t="n">
        <v>0</v>
      </c>
      <c r="X92" s="304" t="n">
        <f aca="false">SUM(Y92:AA92)</f>
        <v>126.1</v>
      </c>
      <c r="Y92" s="299" t="n">
        <f aca="false">Q92</f>
        <v>126.1</v>
      </c>
      <c r="Z92" s="175" t="n">
        <f aca="false">R92</f>
        <v>0</v>
      </c>
      <c r="AA92" s="300" t="n">
        <v>0</v>
      </c>
      <c r="AB92" s="173" t="n">
        <f aca="false">IFERROR(X92/P92,0)</f>
        <v>1</v>
      </c>
      <c r="AC92" s="295"/>
    </row>
    <row r="93" customFormat="false" ht="15" hidden="false" customHeight="false" outlineLevel="0" collapsed="false">
      <c r="A93" s="296" t="s">
        <v>198</v>
      </c>
      <c r="B93" s="297" t="s">
        <v>199</v>
      </c>
      <c r="C93" s="158" t="s">
        <v>200</v>
      </c>
      <c r="D93" s="298" t="n">
        <f aca="false">D91/D92/12*1000</f>
        <v>129578.387261994</v>
      </c>
      <c r="E93" s="299" t="n">
        <v>129578.387261994</v>
      </c>
      <c r="F93" s="175"/>
      <c r="G93" s="300"/>
      <c r="H93" s="298" t="n">
        <f aca="false">H91/H92/12*1000</f>
        <v>229324.276945009</v>
      </c>
      <c r="I93" s="299" t="n">
        <v>229324.276945009</v>
      </c>
      <c r="J93" s="175"/>
      <c r="K93" s="300"/>
      <c r="L93" s="298" t="e">
        <f aca="false">L91/L92/12*1000</f>
        <v>#DIV/0!</v>
      </c>
      <c r="M93" s="299"/>
      <c r="N93" s="175"/>
      <c r="O93" s="300"/>
      <c r="P93" s="298" t="n">
        <f aca="false">P91/P92/12*1000</f>
        <v>131610.176374262</v>
      </c>
      <c r="Q93" s="299" t="n">
        <v>131610.176374262</v>
      </c>
      <c r="R93" s="175"/>
      <c r="S93" s="300"/>
      <c r="T93" s="298" t="n">
        <f aca="false">T91/T92/12*1000</f>
        <v>253057.963663156</v>
      </c>
      <c r="U93" s="299" t="n">
        <f aca="false">I93*1.058*1.043</f>
        <v>253057.963663156</v>
      </c>
      <c r="V93" s="175" t="e">
        <f aca="false">V91/V92/12*1000</f>
        <v>#DIV/0!</v>
      </c>
      <c r="W93" s="300" t="n">
        <v>0</v>
      </c>
      <c r="X93" s="298" t="n">
        <f aca="false">X91/X92/12*1000</f>
        <v>126345.769319292</v>
      </c>
      <c r="Y93" s="299" t="n">
        <f aca="false">Q93*$Y$40</f>
        <v>126345.769319292</v>
      </c>
      <c r="Z93" s="175" t="e">
        <f aca="false">Z91/Z92/12*1000</f>
        <v>#DIV/0!</v>
      </c>
      <c r="AA93" s="300" t="n">
        <v>0</v>
      </c>
      <c r="AB93" s="173" t="n">
        <f aca="false">IFERROR(X93/P93,0)</f>
        <v>0.96</v>
      </c>
      <c r="AC93" s="295"/>
    </row>
    <row r="94" customFormat="false" ht="15" hidden="false" customHeight="false" outlineLevel="0" collapsed="false">
      <c r="A94" s="288" t="s">
        <v>201</v>
      </c>
      <c r="B94" s="301" t="s">
        <v>202</v>
      </c>
      <c r="C94" s="290" t="s">
        <v>90</v>
      </c>
      <c r="D94" s="291" t="n">
        <f aca="false">SUM(E94:G94)</f>
        <v>68950.1096372873</v>
      </c>
      <c r="E94" s="292" t="n">
        <f aca="false">E95*E96*12/1000</f>
        <v>68950.1096372873</v>
      </c>
      <c r="F94" s="293" t="n">
        <f aca="false">F95*F96*12/1000</f>
        <v>0</v>
      </c>
      <c r="G94" s="294" t="n">
        <f aca="false">G95*G96*12/1000</f>
        <v>0</v>
      </c>
      <c r="H94" s="291" t="n">
        <f aca="false">SUM(I94:K94)</f>
        <v>106179.472182577</v>
      </c>
      <c r="I94" s="292" t="n">
        <f aca="false">I95*I96*12/1000</f>
        <v>106179.472182577</v>
      </c>
      <c r="J94" s="293" t="n">
        <f aca="false">J95*J96*12/1000</f>
        <v>0</v>
      </c>
      <c r="K94" s="294" t="n">
        <f aca="false">K95*K96*12/1000</f>
        <v>0</v>
      </c>
      <c r="L94" s="291" t="n">
        <f aca="false">SUM(M94:O94)</f>
        <v>0</v>
      </c>
      <c r="M94" s="292" t="n">
        <f aca="false">M95*M96*12/1000</f>
        <v>0</v>
      </c>
      <c r="N94" s="293" t="n">
        <f aca="false">N95*N96*12/1000</f>
        <v>0</v>
      </c>
      <c r="O94" s="294" t="n">
        <f aca="false">O95*O96*12/1000</f>
        <v>0</v>
      </c>
      <c r="P94" s="291" t="n">
        <f aca="false">SUM(Q94:S94)</f>
        <v>70031.2473563998</v>
      </c>
      <c r="Q94" s="292" t="n">
        <f aca="false">Q95*Q96*12/1000</f>
        <v>70031.2473563998</v>
      </c>
      <c r="R94" s="293" t="n">
        <f aca="false">R95*R96*12/1000</f>
        <v>0</v>
      </c>
      <c r="S94" s="294" t="n">
        <f aca="false">S95*S96*12/1000</f>
        <v>0</v>
      </c>
      <c r="T94" s="291" t="n">
        <f aca="false">SUM(U94:W94)</f>
        <v>117168.41047664</v>
      </c>
      <c r="U94" s="292" t="n">
        <f aca="false">U95*U96*12/1000</f>
        <v>117168.41047664</v>
      </c>
      <c r="V94" s="293" t="n">
        <f aca="false">R94*$V$40</f>
        <v>0</v>
      </c>
      <c r="W94" s="302" t="n">
        <v>0</v>
      </c>
      <c r="X94" s="291" t="n">
        <f aca="false">SUM(Y94:AA94)</f>
        <v>67229.9974621438</v>
      </c>
      <c r="Y94" s="292" t="n">
        <f aca="false">Y95*Y96*12/1000</f>
        <v>67229.9974621438</v>
      </c>
      <c r="Z94" s="293" t="n">
        <f aca="false">R94*$Z$40</f>
        <v>0</v>
      </c>
      <c r="AA94" s="302" t="n">
        <v>0</v>
      </c>
      <c r="AB94" s="220" t="n">
        <f aca="false">IFERROR(X94/P94,0)</f>
        <v>0.96</v>
      </c>
      <c r="AC94" s="303"/>
      <c r="AD94" s="94"/>
      <c r="AE94" s="94"/>
      <c r="AF94" s="94"/>
      <c r="AG94" s="94"/>
    </row>
    <row r="95" customFormat="false" ht="15" hidden="false" customHeight="false" outlineLevel="0" collapsed="false">
      <c r="A95" s="296" t="s">
        <v>203</v>
      </c>
      <c r="B95" s="297" t="s">
        <v>196</v>
      </c>
      <c r="C95" s="158" t="s">
        <v>197</v>
      </c>
      <c r="D95" s="304" t="n">
        <f aca="false">SUM(E95:G95)</f>
        <v>37</v>
      </c>
      <c r="E95" s="299" t="n">
        <v>37</v>
      </c>
      <c r="F95" s="175"/>
      <c r="G95" s="300"/>
      <c r="H95" s="304" t="n">
        <f aca="false">SUM(I95:K95)</f>
        <v>37</v>
      </c>
      <c r="I95" s="299" t="n">
        <v>37</v>
      </c>
      <c r="J95" s="175"/>
      <c r="K95" s="300"/>
      <c r="L95" s="304" t="n">
        <f aca="false">SUM(M95:O95)</f>
        <v>0</v>
      </c>
      <c r="M95" s="299"/>
      <c r="N95" s="175"/>
      <c r="O95" s="300"/>
      <c r="P95" s="304" t="n">
        <f aca="false">SUM(Q95:S95)</f>
        <v>37</v>
      </c>
      <c r="Q95" s="299" t="n">
        <v>37</v>
      </c>
      <c r="R95" s="175"/>
      <c r="S95" s="300"/>
      <c r="T95" s="304" t="n">
        <f aca="false">SUM(U95:W95)</f>
        <v>37</v>
      </c>
      <c r="U95" s="299" t="n">
        <f aca="false">Q95</f>
        <v>37</v>
      </c>
      <c r="V95" s="175" t="n">
        <f aca="false">R95</f>
        <v>0</v>
      </c>
      <c r="W95" s="300" t="n">
        <v>0</v>
      </c>
      <c r="X95" s="304" t="n">
        <f aca="false">SUM(Y95:AA95)</f>
        <v>37</v>
      </c>
      <c r="Y95" s="299" t="n">
        <f aca="false">Q95</f>
        <v>37</v>
      </c>
      <c r="Z95" s="175" t="n">
        <f aca="false">R95</f>
        <v>0</v>
      </c>
      <c r="AA95" s="300" t="n">
        <v>0</v>
      </c>
      <c r="AB95" s="173" t="n">
        <f aca="false">IFERROR(X95/P95,0)</f>
        <v>1</v>
      </c>
      <c r="AC95" s="295"/>
    </row>
    <row r="96" customFormat="false" ht="15" hidden="false" customHeight="false" outlineLevel="0" collapsed="false">
      <c r="A96" s="296" t="s">
        <v>204</v>
      </c>
      <c r="B96" s="297" t="s">
        <v>199</v>
      </c>
      <c r="C96" s="158" t="s">
        <v>200</v>
      </c>
      <c r="D96" s="298" t="n">
        <f aca="false">D94/D95/12*1000</f>
        <v>155293.03972362</v>
      </c>
      <c r="E96" s="299" t="n">
        <v>155293.03972362</v>
      </c>
      <c r="F96" s="175"/>
      <c r="G96" s="300"/>
      <c r="H96" s="298" t="n">
        <f aca="false">H94/H95/12*1000</f>
        <v>239142.955366164</v>
      </c>
      <c r="I96" s="299" t="n">
        <v>239142.955366164</v>
      </c>
      <c r="J96" s="175"/>
      <c r="K96" s="300"/>
      <c r="L96" s="298" t="e">
        <f aca="false">L94/L95/12*1000</f>
        <v>#DIV/0!</v>
      </c>
      <c r="M96" s="299"/>
      <c r="N96" s="175"/>
      <c r="O96" s="300"/>
      <c r="P96" s="298" t="n">
        <f aca="false">P94/P95/12*1000</f>
        <v>157728.034586486</v>
      </c>
      <c r="Q96" s="299" t="n">
        <v>157728.034586486</v>
      </c>
      <c r="R96" s="175"/>
      <c r="S96" s="300"/>
      <c r="T96" s="298" t="n">
        <f aca="false">T94/T95/12*1000</f>
        <v>263892.81638883</v>
      </c>
      <c r="U96" s="299" t="n">
        <f aca="false">I96*1.058*1.043</f>
        <v>263892.81638883</v>
      </c>
      <c r="V96" s="175" t="e">
        <f aca="false">V94/V95/12*1000</f>
        <v>#DIV/0!</v>
      </c>
      <c r="W96" s="300" t="n">
        <v>0</v>
      </c>
      <c r="X96" s="298" t="n">
        <f aca="false">X94/X95/12*1000</f>
        <v>151418.913203027</v>
      </c>
      <c r="Y96" s="299" t="n">
        <f aca="false">Q96*$Y$40</f>
        <v>151418.913203027</v>
      </c>
      <c r="Z96" s="175" t="e">
        <f aca="false">Z94/Z95/12*1000</f>
        <v>#DIV/0!</v>
      </c>
      <c r="AA96" s="300" t="n">
        <v>0</v>
      </c>
      <c r="AB96" s="173" t="n">
        <f aca="false">IFERROR(X96/P96,0)</f>
        <v>0.96</v>
      </c>
      <c r="AC96" s="295"/>
    </row>
    <row r="97" customFormat="false" ht="15" hidden="false" customHeight="false" outlineLevel="0" collapsed="false">
      <c r="A97" s="288" t="s">
        <v>205</v>
      </c>
      <c r="B97" s="301" t="s">
        <v>206</v>
      </c>
      <c r="C97" s="290" t="s">
        <v>90</v>
      </c>
      <c r="D97" s="291" t="n">
        <f aca="false">SUM(E97:G97)</f>
        <v>0</v>
      </c>
      <c r="E97" s="292" t="n">
        <f aca="false">E98*E99*12/1000</f>
        <v>0</v>
      </c>
      <c r="F97" s="293" t="n">
        <f aca="false">F98*F99*12/1000</f>
        <v>0</v>
      </c>
      <c r="G97" s="294" t="n">
        <f aca="false">G98*G99*12/1000</f>
        <v>0</v>
      </c>
      <c r="H97" s="291" t="n">
        <f aca="false">SUM(I97:K97)</f>
        <v>0</v>
      </c>
      <c r="I97" s="292" t="n">
        <f aca="false">I98*I99*12/1000</f>
        <v>0</v>
      </c>
      <c r="J97" s="293" t="n">
        <f aca="false">J98*J99*12/1000</f>
        <v>0</v>
      </c>
      <c r="K97" s="294" t="n">
        <f aca="false">K98*K99*12/1000</f>
        <v>0</v>
      </c>
      <c r="L97" s="291" t="n">
        <f aca="false">SUM(M97:O97)</f>
        <v>0</v>
      </c>
      <c r="M97" s="292" t="n">
        <f aca="false">M98*M99*12/1000</f>
        <v>0</v>
      </c>
      <c r="N97" s="293" t="n">
        <f aca="false">N98*N99*12/1000</f>
        <v>0</v>
      </c>
      <c r="O97" s="294" t="n">
        <f aca="false">O98*O99*12/1000</f>
        <v>0</v>
      </c>
      <c r="P97" s="291" t="n">
        <f aca="false">SUM(Q97:S97)</f>
        <v>0</v>
      </c>
      <c r="Q97" s="292" t="n">
        <f aca="false">Q98*Q99*12/1000</f>
        <v>0</v>
      </c>
      <c r="R97" s="293" t="n">
        <f aca="false">R98*R99*12/1000</f>
        <v>0</v>
      </c>
      <c r="S97" s="294" t="n">
        <f aca="false">S98*S99*12/1000</f>
        <v>0</v>
      </c>
      <c r="T97" s="291" t="n">
        <f aca="false">SUM(U97:W97)</f>
        <v>0</v>
      </c>
      <c r="U97" s="292" t="n">
        <f aca="false">U98*U99*12/1000</f>
        <v>0</v>
      </c>
      <c r="V97" s="293" t="n">
        <f aca="false">R97*$V$40</f>
        <v>0</v>
      </c>
      <c r="W97" s="302" t="n">
        <v>0</v>
      </c>
      <c r="X97" s="291" t="n">
        <f aca="false">SUM(Y97:AA97)</f>
        <v>0</v>
      </c>
      <c r="Y97" s="292" t="n">
        <f aca="false">Y98*Y99*12/1000</f>
        <v>0</v>
      </c>
      <c r="Z97" s="293" t="n">
        <f aca="false">R97*$Z$40</f>
        <v>0</v>
      </c>
      <c r="AA97" s="302" t="n">
        <v>0</v>
      </c>
      <c r="AB97" s="220" t="n">
        <f aca="false">IFERROR(X97/P97,0)</f>
        <v>0</v>
      </c>
      <c r="AC97" s="303"/>
      <c r="AD97" s="94"/>
      <c r="AE97" s="94"/>
      <c r="AF97" s="94"/>
      <c r="AG97" s="94"/>
    </row>
    <row r="98" customFormat="false" ht="15" hidden="false" customHeight="false" outlineLevel="0" collapsed="false">
      <c r="A98" s="296" t="s">
        <v>207</v>
      </c>
      <c r="B98" s="297" t="s">
        <v>196</v>
      </c>
      <c r="C98" s="158" t="s">
        <v>197</v>
      </c>
      <c r="D98" s="304" t="n">
        <f aca="false">SUM(E98:G98)</f>
        <v>0</v>
      </c>
      <c r="E98" s="299"/>
      <c r="F98" s="175"/>
      <c r="G98" s="300"/>
      <c r="H98" s="304" t="n">
        <f aca="false">SUM(I98:K98)</f>
        <v>0</v>
      </c>
      <c r="I98" s="299"/>
      <c r="J98" s="175"/>
      <c r="K98" s="300"/>
      <c r="L98" s="304" t="n">
        <f aca="false">SUM(M98:O98)</f>
        <v>0</v>
      </c>
      <c r="M98" s="299"/>
      <c r="N98" s="175"/>
      <c r="O98" s="300"/>
      <c r="P98" s="304" t="n">
        <f aca="false">SUM(Q98:S98)</f>
        <v>0</v>
      </c>
      <c r="Q98" s="299"/>
      <c r="R98" s="175"/>
      <c r="S98" s="300"/>
      <c r="T98" s="304" t="n">
        <f aca="false">SUM(U98:W98)</f>
        <v>0</v>
      </c>
      <c r="U98" s="299" t="n">
        <f aca="false">Q98</f>
        <v>0</v>
      </c>
      <c r="V98" s="175" t="n">
        <f aca="false">R98</f>
        <v>0</v>
      </c>
      <c r="W98" s="300" t="n">
        <v>0</v>
      </c>
      <c r="X98" s="304" t="n">
        <f aca="false">SUM(Y98:AA98)</f>
        <v>0</v>
      </c>
      <c r="Y98" s="299" t="n">
        <f aca="false">Q98</f>
        <v>0</v>
      </c>
      <c r="Z98" s="175" t="n">
        <f aca="false">R98</f>
        <v>0</v>
      </c>
      <c r="AA98" s="300" t="n">
        <v>0</v>
      </c>
      <c r="AB98" s="173" t="n">
        <f aca="false">IFERROR(X98/P98,0)</f>
        <v>0</v>
      </c>
      <c r="AC98" s="295"/>
    </row>
    <row r="99" customFormat="false" ht="15" hidden="false" customHeight="false" outlineLevel="0" collapsed="false">
      <c r="A99" s="296" t="s">
        <v>208</v>
      </c>
      <c r="B99" s="297" t="s">
        <v>199</v>
      </c>
      <c r="C99" s="158" t="s">
        <v>200</v>
      </c>
      <c r="D99" s="298" t="e">
        <f aca="false">D97/D98/12*1000</f>
        <v>#DIV/0!</v>
      </c>
      <c r="E99" s="299"/>
      <c r="F99" s="175"/>
      <c r="G99" s="300"/>
      <c r="H99" s="298" t="e">
        <f aca="false">H97/H98/12*1000</f>
        <v>#DIV/0!</v>
      </c>
      <c r="I99" s="299"/>
      <c r="J99" s="175"/>
      <c r="K99" s="300"/>
      <c r="L99" s="298" t="e">
        <f aca="false">L97/L98/12*1000</f>
        <v>#DIV/0!</v>
      </c>
      <c r="M99" s="299"/>
      <c r="N99" s="175"/>
      <c r="O99" s="300"/>
      <c r="P99" s="298" t="e">
        <f aca="false">P97/P98/12*1000</f>
        <v>#DIV/0!</v>
      </c>
      <c r="Q99" s="299"/>
      <c r="R99" s="175"/>
      <c r="S99" s="300"/>
      <c r="T99" s="298" t="e">
        <f aca="false">T97/T98/12*1000</f>
        <v>#DIV/0!</v>
      </c>
      <c r="U99" s="299" t="n">
        <f aca="false">Q99*$U$40</f>
        <v>0</v>
      </c>
      <c r="V99" s="175" t="e">
        <f aca="false">V97/V98/12*1000</f>
        <v>#DIV/0!</v>
      </c>
      <c r="W99" s="300" t="n">
        <v>0</v>
      </c>
      <c r="X99" s="298" t="e">
        <f aca="false">X97/X98/12*1000</f>
        <v>#DIV/0!</v>
      </c>
      <c r="Y99" s="299" t="n">
        <f aca="false">Q99*$Y$40</f>
        <v>0</v>
      </c>
      <c r="Z99" s="175" t="e">
        <f aca="false">Z97/Z98/12*1000</f>
        <v>#DIV/0!</v>
      </c>
      <c r="AA99" s="300" t="n">
        <v>0</v>
      </c>
      <c r="AB99" s="173" t="n">
        <f aca="false">IFERROR(X99/P99,0)</f>
        <v>0</v>
      </c>
      <c r="AC99" s="295"/>
    </row>
    <row r="100" customFormat="false" ht="30" hidden="false" customHeight="false" outlineLevel="0" collapsed="false">
      <c r="A100" s="288" t="s">
        <v>209</v>
      </c>
      <c r="B100" s="301" t="s">
        <v>210</v>
      </c>
      <c r="C100" s="290" t="s">
        <v>90</v>
      </c>
      <c r="D100" s="291" t="n">
        <f aca="false">SUM(E100:G100)</f>
        <v>0</v>
      </c>
      <c r="E100" s="292" t="n">
        <f aca="false">E101*E102*12/1000</f>
        <v>0</v>
      </c>
      <c r="F100" s="293" t="n">
        <f aca="false">F101*F102*12/1000</f>
        <v>0</v>
      </c>
      <c r="G100" s="294" t="n">
        <f aca="false">G101*G102*12/1000</f>
        <v>0</v>
      </c>
      <c r="H100" s="291" t="n">
        <f aca="false">SUM(I100:K100)</f>
        <v>0</v>
      </c>
      <c r="I100" s="292" t="n">
        <f aca="false">I101*I102*12/1000</f>
        <v>0</v>
      </c>
      <c r="J100" s="293" t="n">
        <f aca="false">J101*J102*12/1000</f>
        <v>0</v>
      </c>
      <c r="K100" s="294" t="n">
        <f aca="false">K101*K102*12/1000</f>
        <v>0</v>
      </c>
      <c r="L100" s="291" t="n">
        <f aca="false">SUM(M100:O100)</f>
        <v>0</v>
      </c>
      <c r="M100" s="292" t="n">
        <f aca="false">M101*M102*12/1000</f>
        <v>0</v>
      </c>
      <c r="N100" s="293" t="n">
        <f aca="false">N101*N102*12/1000</f>
        <v>0</v>
      </c>
      <c r="O100" s="294" t="n">
        <f aca="false">O101*O102*12/1000</f>
        <v>0</v>
      </c>
      <c r="P100" s="291" t="n">
        <f aca="false">SUM(Q100:S100)</f>
        <v>0</v>
      </c>
      <c r="Q100" s="292" t="n">
        <f aca="false">Q101*Q102*12/1000</f>
        <v>0</v>
      </c>
      <c r="R100" s="293" t="n">
        <f aca="false">R101*R102*12/1000</f>
        <v>0</v>
      </c>
      <c r="S100" s="294" t="n">
        <f aca="false">S101*S102*12/1000</f>
        <v>0</v>
      </c>
      <c r="T100" s="291" t="n">
        <f aca="false">SUM(U100:W100)</f>
        <v>0</v>
      </c>
      <c r="U100" s="292" t="n">
        <f aca="false">U101*U102*12/1000</f>
        <v>0</v>
      </c>
      <c r="V100" s="293" t="n">
        <f aca="false">R100*$V$40</f>
        <v>0</v>
      </c>
      <c r="W100" s="302" t="n">
        <v>0</v>
      </c>
      <c r="X100" s="291" t="n">
        <f aca="false">SUM(Y100:AA100)</f>
        <v>0</v>
      </c>
      <c r="Y100" s="292" t="n">
        <f aca="false">Y101*Y102*12/1000</f>
        <v>0</v>
      </c>
      <c r="Z100" s="293" t="n">
        <f aca="false">R100*$Z$40</f>
        <v>0</v>
      </c>
      <c r="AA100" s="302" t="n">
        <v>0</v>
      </c>
      <c r="AB100" s="220" t="n">
        <f aca="false">IFERROR(X100/P100,0)</f>
        <v>0</v>
      </c>
      <c r="AC100" s="303"/>
      <c r="AD100" s="94"/>
      <c r="AE100" s="94"/>
      <c r="AF100" s="94"/>
      <c r="AG100" s="94"/>
    </row>
    <row r="101" customFormat="false" ht="15" hidden="false" customHeight="false" outlineLevel="0" collapsed="false">
      <c r="A101" s="296" t="s">
        <v>211</v>
      </c>
      <c r="B101" s="297" t="s">
        <v>196</v>
      </c>
      <c r="C101" s="158" t="s">
        <v>197</v>
      </c>
      <c r="D101" s="304" t="n">
        <f aca="false">SUM(E101:G101)</f>
        <v>0</v>
      </c>
      <c r="E101" s="299"/>
      <c r="F101" s="175"/>
      <c r="G101" s="300"/>
      <c r="H101" s="304" t="n">
        <f aca="false">SUM(I101:K101)</f>
        <v>0</v>
      </c>
      <c r="I101" s="299"/>
      <c r="J101" s="175"/>
      <c r="K101" s="300"/>
      <c r="L101" s="304" t="n">
        <f aca="false">SUM(M101:O101)</f>
        <v>0</v>
      </c>
      <c r="M101" s="299"/>
      <c r="N101" s="175"/>
      <c r="O101" s="300"/>
      <c r="P101" s="304" t="n">
        <f aca="false">SUM(Q101:S101)</f>
        <v>0</v>
      </c>
      <c r="Q101" s="299"/>
      <c r="R101" s="175"/>
      <c r="S101" s="300"/>
      <c r="T101" s="304" t="n">
        <f aca="false">SUM(U101:W101)</f>
        <v>0</v>
      </c>
      <c r="U101" s="299" t="n">
        <f aca="false">Q101</f>
        <v>0</v>
      </c>
      <c r="V101" s="175" t="n">
        <f aca="false">R101</f>
        <v>0</v>
      </c>
      <c r="W101" s="300" t="n">
        <v>0</v>
      </c>
      <c r="X101" s="304" t="n">
        <f aca="false">SUM(Y101:AA101)</f>
        <v>0</v>
      </c>
      <c r="Y101" s="299" t="n">
        <f aca="false">Q101</f>
        <v>0</v>
      </c>
      <c r="Z101" s="175" t="n">
        <f aca="false">R101</f>
        <v>0</v>
      </c>
      <c r="AA101" s="300" t="n">
        <v>0</v>
      </c>
      <c r="AB101" s="173" t="n">
        <f aca="false">IFERROR(X101/P101,0)</f>
        <v>0</v>
      </c>
      <c r="AC101" s="295"/>
    </row>
    <row r="102" customFormat="false" ht="15" hidden="false" customHeight="false" outlineLevel="0" collapsed="false">
      <c r="A102" s="296" t="s">
        <v>212</v>
      </c>
      <c r="B102" s="297" t="s">
        <v>199</v>
      </c>
      <c r="C102" s="158" t="s">
        <v>200</v>
      </c>
      <c r="D102" s="298" t="e">
        <f aca="false">D100/D101/12*1000</f>
        <v>#DIV/0!</v>
      </c>
      <c r="E102" s="299"/>
      <c r="F102" s="175"/>
      <c r="G102" s="300"/>
      <c r="H102" s="298" t="e">
        <f aca="false">H100/H101/12*1000</f>
        <v>#DIV/0!</v>
      </c>
      <c r="I102" s="299"/>
      <c r="J102" s="175"/>
      <c r="K102" s="300"/>
      <c r="L102" s="298" t="e">
        <f aca="false">L100/L101/12*1000</f>
        <v>#DIV/0!</v>
      </c>
      <c r="M102" s="299"/>
      <c r="N102" s="175"/>
      <c r="O102" s="300"/>
      <c r="P102" s="298" t="e">
        <f aca="false">P100/P101/12*1000</f>
        <v>#DIV/0!</v>
      </c>
      <c r="Q102" s="299"/>
      <c r="R102" s="175"/>
      <c r="S102" s="300"/>
      <c r="T102" s="298" t="e">
        <f aca="false">T100/T101/12*1000</f>
        <v>#DIV/0!</v>
      </c>
      <c r="U102" s="299" t="n">
        <f aca="false">Q102*$U$40</f>
        <v>0</v>
      </c>
      <c r="V102" s="175" t="e">
        <f aca="false">V100/V101/12*1000</f>
        <v>#DIV/0!</v>
      </c>
      <c r="W102" s="300" t="n">
        <v>0</v>
      </c>
      <c r="X102" s="298" t="e">
        <f aca="false">X100/X101/12*1000</f>
        <v>#DIV/0!</v>
      </c>
      <c r="Y102" s="299" t="n">
        <f aca="false">Q102*$Y$40</f>
        <v>0</v>
      </c>
      <c r="Z102" s="175" t="e">
        <f aca="false">Z100/Z101/12*1000</f>
        <v>#DIV/0!</v>
      </c>
      <c r="AA102" s="300" t="n">
        <v>0</v>
      </c>
      <c r="AB102" s="173" t="n">
        <f aca="false">IFERROR(X102/P102,0)</f>
        <v>0</v>
      </c>
      <c r="AC102" s="295"/>
    </row>
    <row r="103" customFormat="false" ht="15" hidden="false" customHeight="false" outlineLevel="0" collapsed="false">
      <c r="A103" s="288" t="s">
        <v>213</v>
      </c>
      <c r="B103" s="289" t="s">
        <v>214</v>
      </c>
      <c r="C103" s="290" t="s">
        <v>90</v>
      </c>
      <c r="D103" s="291" t="n">
        <f aca="false">SUM(D104:D111)</f>
        <v>662849.203754384</v>
      </c>
      <c r="E103" s="292" t="n">
        <f aca="false">SUM(E104:E111)</f>
        <v>662849.203754384</v>
      </c>
      <c r="F103" s="293" t="n">
        <f aca="false">SUM(F104:F111)</f>
        <v>0</v>
      </c>
      <c r="G103" s="294" t="n">
        <f aca="false">SUM(G104:G111)</f>
        <v>0</v>
      </c>
      <c r="H103" s="291" t="n">
        <f aca="false">SUM(H104:H111)</f>
        <v>764460.542761808</v>
      </c>
      <c r="I103" s="292" t="n">
        <f aca="false">SUM(I104:I111)</f>
        <v>764460.542761808</v>
      </c>
      <c r="J103" s="293" t="n">
        <f aca="false">SUM(J104:J111)</f>
        <v>0</v>
      </c>
      <c r="K103" s="294" t="n">
        <f aca="false">SUM(K104:K111)</f>
        <v>0</v>
      </c>
      <c r="L103" s="291" t="n">
        <f aca="false">SUM(L104:L111)</f>
        <v>0</v>
      </c>
      <c r="M103" s="292" t="n">
        <f aca="false">SUM(M104:M111)</f>
        <v>0</v>
      </c>
      <c r="N103" s="293" t="n">
        <f aca="false">SUM(N104:N111)</f>
        <v>0</v>
      </c>
      <c r="O103" s="294" t="n">
        <f aca="false">SUM(O104:O111)</f>
        <v>0</v>
      </c>
      <c r="P103" s="291" t="n">
        <f aca="false">SUM(P104:P111)</f>
        <v>673242.679269253</v>
      </c>
      <c r="Q103" s="292" t="n">
        <f aca="false">SUM(Q104:Q111)</f>
        <v>673242.679269253</v>
      </c>
      <c r="R103" s="293" t="n">
        <f aca="false">SUM(R104:R111)</f>
        <v>0</v>
      </c>
      <c r="S103" s="294" t="n">
        <f aca="false">SUM(S104:S111)</f>
        <v>0</v>
      </c>
      <c r="T103" s="291" t="n">
        <f aca="false">SUM(T104:T111)</f>
        <v>843577.622174399</v>
      </c>
      <c r="U103" s="292" t="n">
        <f aca="false">SUM(U104:U111)</f>
        <v>843577.622174399</v>
      </c>
      <c r="V103" s="293" t="n">
        <f aca="false">SUM(V104:V111)</f>
        <v>0</v>
      </c>
      <c r="W103" s="294" t="n">
        <f aca="false">SUM(W104:W111)</f>
        <v>0</v>
      </c>
      <c r="X103" s="291" t="n">
        <f aca="false">SUM(X104:X111)</f>
        <v>646312.972098483</v>
      </c>
      <c r="Y103" s="292" t="n">
        <f aca="false">SUM(Y104:Y111)</f>
        <v>646312.972098483</v>
      </c>
      <c r="Z103" s="293" t="n">
        <f aca="false">SUM(Z104:Z111)</f>
        <v>0</v>
      </c>
      <c r="AA103" s="294" t="n">
        <f aca="false">SUM(AA104:AA111)</f>
        <v>0</v>
      </c>
      <c r="AB103" s="220" t="n">
        <f aca="false">IFERROR(X103/P103,0)</f>
        <v>0.96</v>
      </c>
      <c r="AC103" s="295"/>
    </row>
    <row r="104" customFormat="false" ht="15" hidden="false" customHeight="false" outlineLevel="0" collapsed="false">
      <c r="A104" s="296" t="s">
        <v>215</v>
      </c>
      <c r="B104" s="297" t="s">
        <v>216</v>
      </c>
      <c r="C104" s="158" t="s">
        <v>90</v>
      </c>
      <c r="D104" s="298" t="n">
        <f aca="false">SUM(E104:G104)</f>
        <v>162494.700631742</v>
      </c>
      <c r="E104" s="299" t="n">
        <v>162494.700631742</v>
      </c>
      <c r="F104" s="175"/>
      <c r="G104" s="300"/>
      <c r="H104" s="298" t="n">
        <f aca="false">SUM(I104:K104)</f>
        <v>178612.686999117</v>
      </c>
      <c r="I104" s="299" t="n">
        <v>178612.686999117</v>
      </c>
      <c r="J104" s="175"/>
      <c r="K104" s="300"/>
      <c r="L104" s="298" t="n">
        <f aca="false">SUM(M104:O104)</f>
        <v>0</v>
      </c>
      <c r="M104" s="299"/>
      <c r="N104" s="175"/>
      <c r="O104" s="300"/>
      <c r="P104" s="298" t="n">
        <f aca="false">SUM(Q104:S104)</f>
        <v>165042.617537648</v>
      </c>
      <c r="Q104" s="299" t="n">
        <v>165042.617537648</v>
      </c>
      <c r="R104" s="175"/>
      <c r="S104" s="300"/>
      <c r="T104" s="298" t="n">
        <f aca="false">SUM(U104:W104)</f>
        <v>197098.028427404</v>
      </c>
      <c r="U104" s="299" t="n">
        <f aca="false">I104*1.058*1.043</f>
        <v>197098.028427404</v>
      </c>
      <c r="V104" s="175" t="n">
        <f aca="false">R104*$V$40</f>
        <v>0</v>
      </c>
      <c r="W104" s="300" t="n">
        <v>0</v>
      </c>
      <c r="X104" s="298" t="n">
        <f aca="false">SUM(Y104:AA104)</f>
        <v>158440.912836142</v>
      </c>
      <c r="Y104" s="299" t="n">
        <f aca="false">Q104*$Y$40</f>
        <v>158440.912836142</v>
      </c>
      <c r="Z104" s="175" t="n">
        <f aca="false">R104*$Z$40</f>
        <v>0</v>
      </c>
      <c r="AA104" s="300" t="n">
        <v>0</v>
      </c>
      <c r="AB104" s="173" t="n">
        <f aca="false">IFERROR(X104/P104,0)</f>
        <v>0.96</v>
      </c>
      <c r="AC104" s="295"/>
    </row>
    <row r="105" customFormat="false" ht="15" hidden="false" customHeight="false" outlineLevel="0" collapsed="false">
      <c r="A105" s="296" t="s">
        <v>217</v>
      </c>
      <c r="B105" s="297" t="s">
        <v>218</v>
      </c>
      <c r="C105" s="158" t="s">
        <v>90</v>
      </c>
      <c r="D105" s="298" t="n">
        <f aca="false">SUM(E105:G105)</f>
        <v>6043.81271692904</v>
      </c>
      <c r="E105" s="299" t="n">
        <v>6043.81271692904</v>
      </c>
      <c r="F105" s="175"/>
      <c r="G105" s="300"/>
      <c r="H105" s="298" t="n">
        <f aca="false">SUM(I105:K105)</f>
        <v>7419.32788633821</v>
      </c>
      <c r="I105" s="299" t="n">
        <v>7419.32788633821</v>
      </c>
      <c r="J105" s="175"/>
      <c r="K105" s="300"/>
      <c r="L105" s="298" t="n">
        <f aca="false">SUM(M105:O105)</f>
        <v>0</v>
      </c>
      <c r="M105" s="299"/>
      <c r="N105" s="175"/>
      <c r="O105" s="300"/>
      <c r="P105" s="298" t="n">
        <f aca="false">SUM(Q105:S105)</f>
        <v>6138.57970033049</v>
      </c>
      <c r="Q105" s="299" t="n">
        <v>6138.57970033049</v>
      </c>
      <c r="R105" s="175"/>
      <c r="S105" s="300"/>
      <c r="T105" s="298" t="n">
        <f aca="false">SUM(U105:W105)</f>
        <v>8187.1838066069</v>
      </c>
      <c r="U105" s="299" t="n">
        <f aca="false">I105*1.058*1.043</f>
        <v>8187.1838066069</v>
      </c>
      <c r="V105" s="175" t="n">
        <f aca="false">R105*$V$40</f>
        <v>0</v>
      </c>
      <c r="W105" s="300" t="n">
        <v>0</v>
      </c>
      <c r="X105" s="298" t="n">
        <f aca="false">SUM(Y105:AA105)</f>
        <v>5893.03651231727</v>
      </c>
      <c r="Y105" s="299" t="n">
        <f aca="false">Q105*$Y$40</f>
        <v>5893.03651231727</v>
      </c>
      <c r="Z105" s="175" t="n">
        <f aca="false">R105*$Z$40</f>
        <v>0</v>
      </c>
      <c r="AA105" s="300" t="n">
        <v>0</v>
      </c>
      <c r="AB105" s="173" t="n">
        <f aca="false">IFERROR(X105/P105,0)</f>
        <v>0.96</v>
      </c>
      <c r="AC105" s="295"/>
    </row>
    <row r="106" customFormat="false" ht="15" hidden="false" customHeight="false" outlineLevel="0" collapsed="false">
      <c r="A106" s="296" t="s">
        <v>219</v>
      </c>
      <c r="B106" s="297" t="s">
        <v>220</v>
      </c>
      <c r="C106" s="158" t="s">
        <v>90</v>
      </c>
      <c r="D106" s="298" t="n">
        <f aca="false">SUM(E106:G106)</f>
        <v>10759.6334644563</v>
      </c>
      <c r="E106" s="299" t="n">
        <v>10759.6334644563</v>
      </c>
      <c r="F106" s="175"/>
      <c r="G106" s="300"/>
      <c r="H106" s="298" t="n">
        <f aca="false">SUM(I106:K106)</f>
        <v>34.78464</v>
      </c>
      <c r="I106" s="299" t="n">
        <v>34.78464</v>
      </c>
      <c r="J106" s="175"/>
      <c r="K106" s="300"/>
      <c r="L106" s="298" t="n">
        <f aca="false">SUM(M106:O106)</f>
        <v>0</v>
      </c>
      <c r="M106" s="299"/>
      <c r="N106" s="175"/>
      <c r="O106" s="300"/>
      <c r="P106" s="298" t="n">
        <f aca="false">SUM(Q106:S106)</f>
        <v>10928.344517179</v>
      </c>
      <c r="Q106" s="299" t="n">
        <v>10928.344517179</v>
      </c>
      <c r="R106" s="175"/>
      <c r="S106" s="300"/>
      <c r="T106" s="298" t="n">
        <f aca="false">SUM(U106:W106)</f>
        <v>38.38464153216</v>
      </c>
      <c r="U106" s="299" t="n">
        <f aca="false">I106*1.058*1.043</f>
        <v>38.38464153216</v>
      </c>
      <c r="V106" s="175" t="n">
        <f aca="false">R106*$V$40</f>
        <v>0</v>
      </c>
      <c r="W106" s="300" t="n">
        <v>0</v>
      </c>
      <c r="X106" s="298" t="n">
        <f aca="false">SUM(Y106:AA106)</f>
        <v>10491.2107364918</v>
      </c>
      <c r="Y106" s="299" t="n">
        <f aca="false">Q106*$Y$40</f>
        <v>10491.2107364918</v>
      </c>
      <c r="Z106" s="175" t="n">
        <f aca="false">R106*$Z$40</f>
        <v>0</v>
      </c>
      <c r="AA106" s="300" t="n">
        <v>0</v>
      </c>
      <c r="AB106" s="173" t="n">
        <f aca="false">IFERROR(X106/P106,0)</f>
        <v>0.96</v>
      </c>
      <c r="AC106" s="305"/>
    </row>
    <row r="107" customFormat="false" ht="15" hidden="false" customHeight="false" outlineLevel="0" collapsed="false">
      <c r="A107" s="296" t="s">
        <v>221</v>
      </c>
      <c r="B107" s="297" t="s">
        <v>222</v>
      </c>
      <c r="C107" s="158" t="s">
        <v>90</v>
      </c>
      <c r="D107" s="298" t="n">
        <f aca="false">SUM(E107:G107)</f>
        <v>0</v>
      </c>
      <c r="E107" s="299" t="n">
        <v>0</v>
      </c>
      <c r="F107" s="175"/>
      <c r="G107" s="300"/>
      <c r="H107" s="298" t="n">
        <f aca="false">SUM(I107:K107)</f>
        <v>0</v>
      </c>
      <c r="I107" s="299"/>
      <c r="J107" s="175"/>
      <c r="K107" s="300"/>
      <c r="L107" s="298" t="n">
        <f aca="false">SUM(M107:O107)</f>
        <v>0</v>
      </c>
      <c r="M107" s="299"/>
      <c r="N107" s="175"/>
      <c r="O107" s="300"/>
      <c r="P107" s="298" t="n">
        <f aca="false">SUM(Q107:S107)</f>
        <v>0</v>
      </c>
      <c r="Q107" s="299" t="n">
        <v>0</v>
      </c>
      <c r="R107" s="175"/>
      <c r="S107" s="300"/>
      <c r="T107" s="298" t="n">
        <f aca="false">SUM(U107:W107)</f>
        <v>0</v>
      </c>
      <c r="U107" s="299" t="n">
        <f aca="false">I107*1.058*1.043</f>
        <v>0</v>
      </c>
      <c r="V107" s="175" t="n">
        <f aca="false">R107*$V$40</f>
        <v>0</v>
      </c>
      <c r="W107" s="300" t="n">
        <v>0</v>
      </c>
      <c r="X107" s="298" t="n">
        <f aca="false">SUM(Y107:AA107)</f>
        <v>0</v>
      </c>
      <c r="Y107" s="299" t="n">
        <f aca="false">Q107*$Y$40</f>
        <v>0</v>
      </c>
      <c r="Z107" s="175" t="n">
        <f aca="false">R107*$Z$40</f>
        <v>0</v>
      </c>
      <c r="AA107" s="300" t="n">
        <v>0</v>
      </c>
      <c r="AB107" s="173" t="n">
        <f aca="false">IFERROR(X107/P107,0)</f>
        <v>0</v>
      </c>
      <c r="AC107" s="305"/>
    </row>
    <row r="108" customFormat="false" ht="15" hidden="false" customHeight="false" outlineLevel="0" collapsed="false">
      <c r="A108" s="296" t="s">
        <v>223</v>
      </c>
      <c r="B108" s="297" t="s">
        <v>224</v>
      </c>
      <c r="C108" s="158" t="s">
        <v>90</v>
      </c>
      <c r="D108" s="298" t="n">
        <f aca="false">SUM(E108:G108)</f>
        <v>865.717049382327</v>
      </c>
      <c r="E108" s="299" t="n">
        <v>865.717049382327</v>
      </c>
      <c r="F108" s="175"/>
      <c r="G108" s="300"/>
      <c r="H108" s="298" t="n">
        <f aca="false">SUM(I108:K108)</f>
        <v>581.55669049568</v>
      </c>
      <c r="I108" s="299" t="n">
        <v>581.55669049568</v>
      </c>
      <c r="J108" s="175"/>
      <c r="K108" s="300"/>
      <c r="L108" s="298" t="n">
        <f aca="false">SUM(M108:O108)</f>
        <v>0</v>
      </c>
      <c r="M108" s="299"/>
      <c r="N108" s="175"/>
      <c r="O108" s="300"/>
      <c r="P108" s="298" t="n">
        <f aca="false">SUM(Q108:S108)</f>
        <v>879.291492716642</v>
      </c>
      <c r="Q108" s="299" t="n">
        <v>879.291492716642</v>
      </c>
      <c r="R108" s="175"/>
      <c r="S108" s="300"/>
      <c r="T108" s="298" t="n">
        <f aca="false">SUM(U108:W108)</f>
        <v>641.74431862184</v>
      </c>
      <c r="U108" s="299" t="n">
        <f aca="false">I108*1.058*1.043</f>
        <v>641.74431862184</v>
      </c>
      <c r="V108" s="175" t="n">
        <f aca="false">R108*$V$40</f>
        <v>0</v>
      </c>
      <c r="W108" s="300" t="n">
        <v>0</v>
      </c>
      <c r="X108" s="298" t="n">
        <f aca="false">SUM(Y108:AA108)</f>
        <v>844.119833007976</v>
      </c>
      <c r="Y108" s="299" t="n">
        <f aca="false">Q108*$Y$40</f>
        <v>844.119833007976</v>
      </c>
      <c r="Z108" s="175" t="n">
        <f aca="false">R108*$Z$40</f>
        <v>0</v>
      </c>
      <c r="AA108" s="300" t="n">
        <v>0</v>
      </c>
      <c r="AB108" s="173" t="n">
        <f aca="false">IFERROR(X108/P108,0)</f>
        <v>0.96</v>
      </c>
      <c r="AC108" s="305"/>
    </row>
    <row r="109" customFormat="false" ht="28.15" hidden="false" customHeight="false" outlineLevel="0" collapsed="false">
      <c r="A109" s="296" t="s">
        <v>225</v>
      </c>
      <c r="B109" s="297" t="s">
        <v>226</v>
      </c>
      <c r="C109" s="306" t="s">
        <v>90</v>
      </c>
      <c r="D109" s="298" t="n">
        <f aca="false">SUM(E109:G109)</f>
        <v>10268.0031689075</v>
      </c>
      <c r="E109" s="299" t="n">
        <v>10268.0031689075</v>
      </c>
      <c r="F109" s="175"/>
      <c r="G109" s="300"/>
      <c r="H109" s="298" t="n">
        <f aca="false">SUM(I109:K109)</f>
        <v>11978.3066781493</v>
      </c>
      <c r="I109" s="299" t="n">
        <v>11978.3066781493</v>
      </c>
      <c r="J109" s="175"/>
      <c r="K109" s="300"/>
      <c r="L109" s="298" t="n">
        <f aca="false">SUM(M109:O109)</f>
        <v>0</v>
      </c>
      <c r="M109" s="299"/>
      <c r="N109" s="175"/>
      <c r="O109" s="300"/>
      <c r="P109" s="298" t="n">
        <f aca="false">SUM(Q109:S109)</f>
        <v>10429.0054585959</v>
      </c>
      <c r="Q109" s="299" t="n">
        <v>10429.0054585959</v>
      </c>
      <c r="R109" s="175"/>
      <c r="S109" s="300"/>
      <c r="T109" s="298" t="n">
        <f aca="false">SUM(U109:W109)</f>
        <v>13217.9895494977</v>
      </c>
      <c r="U109" s="299" t="n">
        <f aca="false">I109*1.058*1.043</f>
        <v>13217.9895494977</v>
      </c>
      <c r="V109" s="175" t="n">
        <f aca="false">R109*$V$40</f>
        <v>0</v>
      </c>
      <c r="W109" s="300" t="n">
        <v>0</v>
      </c>
      <c r="X109" s="298" t="n">
        <f aca="false">SUM(Y109:AA109)</f>
        <v>10011.8452402521</v>
      </c>
      <c r="Y109" s="299" t="n">
        <f aca="false">Q109*$Y$40</f>
        <v>10011.8452402521</v>
      </c>
      <c r="Z109" s="175" t="n">
        <f aca="false">R109*$Z$40</f>
        <v>0</v>
      </c>
      <c r="AA109" s="300" t="n">
        <v>0</v>
      </c>
      <c r="AB109" s="173" t="n">
        <f aca="false">IFERROR(X109/P109,0)</f>
        <v>0.96</v>
      </c>
      <c r="AC109" s="295"/>
    </row>
    <row r="110" customFormat="false" ht="15" hidden="false" customHeight="false" outlineLevel="0" collapsed="false">
      <c r="A110" s="296" t="s">
        <v>227</v>
      </c>
      <c r="B110" s="297" t="s">
        <v>228</v>
      </c>
      <c r="C110" s="306" t="s">
        <v>90</v>
      </c>
      <c r="D110" s="298" t="n">
        <f aca="false">SUM(E110:G110)</f>
        <v>0</v>
      </c>
      <c r="E110" s="299" t="n">
        <v>0</v>
      </c>
      <c r="F110" s="175"/>
      <c r="G110" s="300"/>
      <c r="H110" s="298" t="n">
        <f aca="false">SUM(I110:K110)</f>
        <v>0</v>
      </c>
      <c r="I110" s="299"/>
      <c r="J110" s="175"/>
      <c r="K110" s="300"/>
      <c r="L110" s="298" t="n">
        <f aca="false">SUM(M110:O110)</f>
        <v>0</v>
      </c>
      <c r="M110" s="299"/>
      <c r="N110" s="175"/>
      <c r="O110" s="300"/>
      <c r="P110" s="298" t="n">
        <f aca="false">SUM(Q110:S110)</f>
        <v>0</v>
      </c>
      <c r="Q110" s="299" t="n">
        <v>0</v>
      </c>
      <c r="R110" s="175"/>
      <c r="S110" s="300"/>
      <c r="T110" s="298" t="n">
        <f aca="false">SUM(U110:W110)</f>
        <v>0</v>
      </c>
      <c r="U110" s="299" t="n">
        <f aca="false">I110*1.058*1.043</f>
        <v>0</v>
      </c>
      <c r="V110" s="175" t="n">
        <f aca="false">R110*$V$40</f>
        <v>0</v>
      </c>
      <c r="W110" s="300" t="n">
        <v>0</v>
      </c>
      <c r="X110" s="298" t="n">
        <f aca="false">SUM(Y110:AA110)</f>
        <v>0</v>
      </c>
      <c r="Y110" s="299" t="n">
        <f aca="false">Q110*$Y$40</f>
        <v>0</v>
      </c>
      <c r="Z110" s="175" t="n">
        <f aca="false">R110*$Z$40</f>
        <v>0</v>
      </c>
      <c r="AA110" s="300" t="n">
        <v>0</v>
      </c>
      <c r="AB110" s="173" t="n">
        <f aca="false">IFERROR(X110/P110,0)</f>
        <v>0</v>
      </c>
      <c r="AC110" s="295"/>
    </row>
    <row r="111" customFormat="false" ht="15" hidden="false" customHeight="false" outlineLevel="0" collapsed="false">
      <c r="A111" s="296" t="s">
        <v>229</v>
      </c>
      <c r="B111" s="297" t="s">
        <v>230</v>
      </c>
      <c r="C111" s="158" t="s">
        <v>90</v>
      </c>
      <c r="D111" s="298" t="n">
        <f aca="false">SUM(E111:G111)</f>
        <v>472417.336722967</v>
      </c>
      <c r="E111" s="299" t="n">
        <v>472417.336722967</v>
      </c>
      <c r="F111" s="175"/>
      <c r="G111" s="300"/>
      <c r="H111" s="298" t="n">
        <f aca="false">SUM(I111:K111)</f>
        <v>565833.879867708</v>
      </c>
      <c r="I111" s="299" t="n">
        <v>565833.879867708</v>
      </c>
      <c r="J111" s="175"/>
      <c r="K111" s="300"/>
      <c r="L111" s="298" t="n">
        <f aca="false">SUM(M111:O111)</f>
        <v>0</v>
      </c>
      <c r="M111" s="299"/>
      <c r="N111" s="175"/>
      <c r="O111" s="300"/>
      <c r="P111" s="298" t="n">
        <f aca="false">SUM(Q111:S111)</f>
        <v>479824.840562783</v>
      </c>
      <c r="Q111" s="299" t="n">
        <v>479824.840562783</v>
      </c>
      <c r="R111" s="175"/>
      <c r="S111" s="300"/>
      <c r="T111" s="298" t="n">
        <f aca="false">SUM(U111:W111)</f>
        <v>624394.291430737</v>
      </c>
      <c r="U111" s="299" t="n">
        <f aca="false">I111*1.058*1.043</f>
        <v>624394.291430737</v>
      </c>
      <c r="V111" s="175" t="n">
        <f aca="false">R111*$V$40</f>
        <v>0</v>
      </c>
      <c r="W111" s="300" t="n">
        <v>0</v>
      </c>
      <c r="X111" s="298" t="n">
        <f aca="false">SUM(Y111:AA111)</f>
        <v>460631.846940272</v>
      </c>
      <c r="Y111" s="299" t="n">
        <f aca="false">Q111*$Y$40</f>
        <v>460631.846940272</v>
      </c>
      <c r="Z111" s="175" t="n">
        <f aca="false">R111*$Z$40</f>
        <v>0</v>
      </c>
      <c r="AA111" s="300" t="n">
        <v>0</v>
      </c>
      <c r="AB111" s="173" t="n">
        <f aca="false">IFERROR(X111/P111,0)</f>
        <v>0.96</v>
      </c>
      <c r="AC111" s="295"/>
    </row>
    <row r="112" customFormat="false" ht="15" hidden="false" customHeight="false" outlineLevel="0" collapsed="false">
      <c r="A112" s="288" t="s">
        <v>231</v>
      </c>
      <c r="B112" s="289" t="s">
        <v>232</v>
      </c>
      <c r="C112" s="290" t="s">
        <v>90</v>
      </c>
      <c r="D112" s="291" t="n">
        <f aca="false">SUM(D113:D115)</f>
        <v>14292.7093826598</v>
      </c>
      <c r="E112" s="292" t="n">
        <f aca="false">SUM(E113:E115)</f>
        <v>14292.7093826598</v>
      </c>
      <c r="F112" s="293" t="n">
        <f aca="false">SUM(F113:F115)</f>
        <v>0</v>
      </c>
      <c r="G112" s="294" t="n">
        <f aca="false">SUM(G113:G115)</f>
        <v>0</v>
      </c>
      <c r="H112" s="291" t="n">
        <f aca="false">SUM(H113:H115)</f>
        <v>3980.45422448246</v>
      </c>
      <c r="I112" s="292" t="n">
        <f aca="false">SUM(I113:I115)</f>
        <v>3980.45422448246</v>
      </c>
      <c r="J112" s="293" t="n">
        <f aca="false">SUM(J113:J115)</f>
        <v>0</v>
      </c>
      <c r="K112" s="294" t="n">
        <f aca="false">SUM(K113:K115)</f>
        <v>0</v>
      </c>
      <c r="L112" s="291" t="n">
        <f aca="false">SUM(L113:L115)</f>
        <v>0</v>
      </c>
      <c r="M112" s="292" t="n">
        <f aca="false">SUM(M113:M115)</f>
        <v>0</v>
      </c>
      <c r="N112" s="293" t="n">
        <f aca="false">SUM(N113:N115)</f>
        <v>0</v>
      </c>
      <c r="O112" s="294" t="n">
        <f aca="false">SUM(O113:O115)</f>
        <v>0</v>
      </c>
      <c r="P112" s="291" t="n">
        <f aca="false">SUM(P113:P115)</f>
        <v>14516.8190657799</v>
      </c>
      <c r="Q112" s="292" t="n">
        <f aca="false">SUM(Q113:Q115)</f>
        <v>14516.8190657799</v>
      </c>
      <c r="R112" s="293" t="n">
        <f aca="false">SUM(R113:R115)</f>
        <v>0</v>
      </c>
      <c r="S112" s="294" t="n">
        <f aca="false">SUM(S113:S115)</f>
        <v>0</v>
      </c>
      <c r="T112" s="291" t="n">
        <f aca="false">SUM(T113:T115)</f>
        <v>9469.89953841815</v>
      </c>
      <c r="U112" s="292" t="n">
        <f aca="false">SUM(U113:U115)</f>
        <v>9469.89953841815</v>
      </c>
      <c r="V112" s="293" t="n">
        <f aca="false">SUM(V113:V115)</f>
        <v>0</v>
      </c>
      <c r="W112" s="294" t="n">
        <f aca="false">SUM(W113:W115)</f>
        <v>0</v>
      </c>
      <c r="X112" s="291" t="n">
        <f aca="false">SUM(X113:X115)</f>
        <v>13936.1463031487</v>
      </c>
      <c r="Y112" s="292" t="n">
        <f aca="false">SUM(Y113:Y115)</f>
        <v>13936.1463031487</v>
      </c>
      <c r="Z112" s="293" t="n">
        <f aca="false">SUM(Z113:Z115)</f>
        <v>0</v>
      </c>
      <c r="AA112" s="294" t="n">
        <f aca="false">SUM(AA113:AA115)</f>
        <v>0</v>
      </c>
      <c r="AB112" s="220" t="n">
        <f aca="false">IFERROR(X112/P112,0)</f>
        <v>0.96</v>
      </c>
      <c r="AC112" s="295"/>
    </row>
    <row r="113" customFormat="false" ht="15" hidden="false" customHeight="false" outlineLevel="0" collapsed="false">
      <c r="A113" s="296" t="s">
        <v>233</v>
      </c>
      <c r="B113" s="297" t="s">
        <v>234</v>
      </c>
      <c r="C113" s="158" t="s">
        <v>90</v>
      </c>
      <c r="D113" s="298" t="n">
        <f aca="false">SUM(E113:G113)</f>
        <v>0</v>
      </c>
      <c r="E113" s="299"/>
      <c r="F113" s="175"/>
      <c r="G113" s="300"/>
      <c r="H113" s="298" t="n">
        <f aca="false">SUM(I113:K113)</f>
        <v>0</v>
      </c>
      <c r="I113" s="299"/>
      <c r="J113" s="175"/>
      <c r="K113" s="300"/>
      <c r="L113" s="298" t="n">
        <f aca="false">SUM(M113:O113)</f>
        <v>0</v>
      </c>
      <c r="M113" s="299"/>
      <c r="N113" s="175"/>
      <c r="O113" s="300"/>
      <c r="P113" s="298" t="n">
        <f aca="false">SUM(Q113:S113)</f>
        <v>0</v>
      </c>
      <c r="Q113" s="299"/>
      <c r="R113" s="175"/>
      <c r="S113" s="300"/>
      <c r="T113" s="298" t="n">
        <f aca="false">SUM(U113:W113)</f>
        <v>0</v>
      </c>
      <c r="U113" s="299" t="n">
        <f aca="false">Q113*$U$40</f>
        <v>0</v>
      </c>
      <c r="V113" s="175" t="n">
        <f aca="false">R113*$V$40</f>
        <v>0</v>
      </c>
      <c r="W113" s="300" t="n">
        <v>0</v>
      </c>
      <c r="X113" s="298" t="n">
        <f aca="false">SUM(Y113:AA113)</f>
        <v>0</v>
      </c>
      <c r="Y113" s="299" t="n">
        <f aca="false">Q113*$Y$40</f>
        <v>0</v>
      </c>
      <c r="Z113" s="175" t="n">
        <f aca="false">R113*$Z$40</f>
        <v>0</v>
      </c>
      <c r="AA113" s="300" t="n">
        <v>0</v>
      </c>
      <c r="AB113" s="173" t="n">
        <f aca="false">IFERROR(X113/P113,0)</f>
        <v>0</v>
      </c>
      <c r="AC113" s="295"/>
    </row>
    <row r="114" customFormat="false" ht="15" hidden="false" customHeight="false" outlineLevel="0" collapsed="false">
      <c r="A114" s="296" t="s">
        <v>235</v>
      </c>
      <c r="B114" s="297" t="s">
        <v>236</v>
      </c>
      <c r="C114" s="158" t="s">
        <v>90</v>
      </c>
      <c r="D114" s="298" t="n">
        <f aca="false">SUM(E114:G114)</f>
        <v>14292.7093826598</v>
      </c>
      <c r="E114" s="299" t="n">
        <v>14292.7093826598</v>
      </c>
      <c r="F114" s="175"/>
      <c r="G114" s="300"/>
      <c r="H114" s="298" t="n">
        <f aca="false">SUM(I114:K114)</f>
        <v>3980.45422448246</v>
      </c>
      <c r="I114" s="299" t="n">
        <v>3980.45422448246</v>
      </c>
      <c r="J114" s="175"/>
      <c r="K114" s="300"/>
      <c r="L114" s="298" t="n">
        <f aca="false">SUM(M114:O114)</f>
        <v>0</v>
      </c>
      <c r="M114" s="299"/>
      <c r="N114" s="175"/>
      <c r="O114" s="300"/>
      <c r="P114" s="298" t="n">
        <f aca="false">SUM(Q114:S114)</f>
        <v>14516.8190657799</v>
      </c>
      <c r="Q114" s="299" t="n">
        <v>14516.8190657799</v>
      </c>
      <c r="R114" s="175"/>
      <c r="S114" s="300"/>
      <c r="T114" s="298" t="n">
        <f aca="false">SUM(U114:W114)</f>
        <v>9469.89953841815</v>
      </c>
      <c r="U114" s="299" t="n">
        <v>9469.89953841815</v>
      </c>
      <c r="V114" s="175" t="n">
        <f aca="false">R114*$V$40</f>
        <v>0</v>
      </c>
      <c r="W114" s="300" t="n">
        <v>0</v>
      </c>
      <c r="X114" s="298" t="n">
        <f aca="false">SUM(Y114:AA114)</f>
        <v>13936.1463031487</v>
      </c>
      <c r="Y114" s="299" t="n">
        <f aca="false">Q114*$Y$40</f>
        <v>13936.1463031487</v>
      </c>
      <c r="Z114" s="175" t="n">
        <f aca="false">R114*$Z$40</f>
        <v>0</v>
      </c>
      <c r="AA114" s="300" t="n">
        <v>0</v>
      </c>
      <c r="AB114" s="173" t="n">
        <f aca="false">IFERROR(X114/P114,0)</f>
        <v>0.96</v>
      </c>
      <c r="AC114" s="295"/>
    </row>
    <row r="115" customFormat="false" ht="15" hidden="false" customHeight="false" outlineLevel="0" collapsed="false">
      <c r="A115" s="296" t="s">
        <v>237</v>
      </c>
      <c r="B115" s="297" t="s">
        <v>238</v>
      </c>
      <c r="C115" s="158" t="s">
        <v>90</v>
      </c>
      <c r="D115" s="298" t="n">
        <f aca="false">SUM(E115:G115)</f>
        <v>0</v>
      </c>
      <c r="E115" s="299"/>
      <c r="F115" s="175"/>
      <c r="G115" s="300"/>
      <c r="H115" s="298" t="n">
        <f aca="false">SUM(I115:K115)</f>
        <v>0</v>
      </c>
      <c r="I115" s="299"/>
      <c r="J115" s="175"/>
      <c r="K115" s="300"/>
      <c r="L115" s="298" t="n">
        <f aca="false">SUM(M115:O115)</f>
        <v>0</v>
      </c>
      <c r="M115" s="299"/>
      <c r="N115" s="175"/>
      <c r="O115" s="300"/>
      <c r="P115" s="298" t="n">
        <f aca="false">SUM(Q115:S115)</f>
        <v>0</v>
      </c>
      <c r="Q115" s="299"/>
      <c r="R115" s="175"/>
      <c r="S115" s="300"/>
      <c r="T115" s="298" t="n">
        <f aca="false">SUM(U115:W115)</f>
        <v>0</v>
      </c>
      <c r="U115" s="299" t="n">
        <f aca="false">Q115*$U$40</f>
        <v>0</v>
      </c>
      <c r="V115" s="175" t="n">
        <f aca="false">R115*$V$40</f>
        <v>0</v>
      </c>
      <c r="W115" s="300" t="n">
        <v>0</v>
      </c>
      <c r="X115" s="298" t="n">
        <f aca="false">SUM(Y115:AA115)</f>
        <v>0</v>
      </c>
      <c r="Y115" s="299" t="n">
        <f aca="false">Q115*$Y$40</f>
        <v>0</v>
      </c>
      <c r="Z115" s="175" t="n">
        <f aca="false">R115*$Z$40</f>
        <v>0</v>
      </c>
      <c r="AA115" s="300" t="n">
        <v>0</v>
      </c>
      <c r="AB115" s="173" t="n">
        <f aca="false">IFERROR(X115/P115,0)</f>
        <v>0</v>
      </c>
      <c r="AC115" s="295"/>
    </row>
    <row r="116" customFormat="false" ht="60.75" hidden="false" customHeight="false" outlineLevel="0" collapsed="false">
      <c r="A116" s="307" t="s">
        <v>239</v>
      </c>
      <c r="B116" s="308" t="s">
        <v>240</v>
      </c>
      <c r="C116" s="290" t="s">
        <v>90</v>
      </c>
      <c r="D116" s="291" t="n">
        <f aca="false">SUM(E116:G116)</f>
        <v>0</v>
      </c>
      <c r="E116" s="309"/>
      <c r="F116" s="310"/>
      <c r="G116" s="311"/>
      <c r="H116" s="291" t="n">
        <f aca="false">SUM(I116:K116)</f>
        <v>0</v>
      </c>
      <c r="I116" s="309"/>
      <c r="J116" s="310"/>
      <c r="K116" s="311"/>
      <c r="L116" s="291" t="n">
        <f aca="false">SUM(M116:O116)</f>
        <v>0</v>
      </c>
      <c r="M116" s="309"/>
      <c r="N116" s="310"/>
      <c r="O116" s="311"/>
      <c r="P116" s="291" t="n">
        <f aca="false">SUM(Q116:S116)</f>
        <v>0</v>
      </c>
      <c r="Q116" s="309"/>
      <c r="R116" s="310"/>
      <c r="S116" s="311"/>
      <c r="T116" s="291" t="n">
        <f aca="false">SUM(U116:W116)</f>
        <v>0</v>
      </c>
      <c r="U116" s="309"/>
      <c r="V116" s="310" t="n">
        <f aca="false">R116*$V$40</f>
        <v>0</v>
      </c>
      <c r="W116" s="311"/>
      <c r="X116" s="291" t="n">
        <f aca="false">SUM(Y116:AA116)</f>
        <v>0</v>
      </c>
      <c r="Y116" s="309"/>
      <c r="Z116" s="310" t="n">
        <f aca="false">R116*$Z$40</f>
        <v>0</v>
      </c>
      <c r="AA116" s="311"/>
      <c r="AB116" s="220" t="n">
        <f aca="false">IFERROR(X116/P116,0)</f>
        <v>0</v>
      </c>
      <c r="AC116" s="312"/>
    </row>
    <row r="117" customFormat="false" ht="15.75" hidden="false" customHeight="false" outlineLevel="0" collapsed="false">
      <c r="A117" s="313" t="s">
        <v>241</v>
      </c>
      <c r="B117" s="314" t="s">
        <v>242</v>
      </c>
      <c r="C117" s="315" t="s">
        <v>90</v>
      </c>
      <c r="D117" s="316" t="n">
        <f aca="false">D85+D86+D90+D103+D112+D116</f>
        <v>1030628.15285556</v>
      </c>
      <c r="E117" s="317" t="n">
        <f aca="false">E85+E86+E90+E103+E112+E116</f>
        <v>1030628.15285556</v>
      </c>
      <c r="F117" s="318" t="n">
        <f aca="false">F85+F86+F90+F103+F112+F116</f>
        <v>0</v>
      </c>
      <c r="G117" s="319" t="n">
        <f aca="false">G85+G86+G90+G103+G112+G116</f>
        <v>0</v>
      </c>
      <c r="H117" s="316" t="n">
        <f aca="false">H85+H86+H90+H103+H112+H116</f>
        <v>1444365.49566986</v>
      </c>
      <c r="I117" s="317" t="n">
        <f aca="false">I85+I86+I90+I103+I112+I116</f>
        <v>1444365.49566986</v>
      </c>
      <c r="J117" s="318" t="n">
        <f aca="false">J85+J86+J90+J103+J112+J116</f>
        <v>0</v>
      </c>
      <c r="K117" s="319" t="n">
        <f aca="false">K85+K86+K90+K103+K112+K116</f>
        <v>0</v>
      </c>
      <c r="L117" s="316" t="n">
        <f aca="false">L85+L86+L90+L103+L112+L116</f>
        <v>0</v>
      </c>
      <c r="M117" s="317" t="n">
        <f aca="false">M85+M86+M90+M103+M112+M116</f>
        <v>0</v>
      </c>
      <c r="N117" s="318" t="n">
        <f aca="false">N85+N86+N90+N103+N112+N116</f>
        <v>0</v>
      </c>
      <c r="O117" s="319" t="n">
        <f aca="false">O85+O86+O90+O103+O112+O116</f>
        <v>0</v>
      </c>
      <c r="P117" s="316" t="n">
        <f aca="false">P85+P86+P90+P103+P112+P116</f>
        <v>1046788.40229234</v>
      </c>
      <c r="Q117" s="317" t="n">
        <f aca="false">Q85+Q86+Q90+Q103+Q112+Q116</f>
        <v>1046788.40229234</v>
      </c>
      <c r="R117" s="318" t="n">
        <f aca="false">R85+R86+R90+R103+R112+R116</f>
        <v>0</v>
      </c>
      <c r="S117" s="319" t="n">
        <f aca="false">S85+S86+S90+S103+S112+S116</f>
        <v>0</v>
      </c>
      <c r="T117" s="316" t="n">
        <f aca="false">T85+T86+T90+T103+T112+T116</f>
        <v>1551716.27881211</v>
      </c>
      <c r="U117" s="317" t="n">
        <f aca="false">U85+U86+U90+U103+U112+U116</f>
        <v>1551716.27881211</v>
      </c>
      <c r="V117" s="318" t="n">
        <f aca="false">V85+V86+V90+V103+V112+V116</f>
        <v>0</v>
      </c>
      <c r="W117" s="319" t="n">
        <f aca="false">W85+W86+W90+W103+W112+W116</f>
        <v>0</v>
      </c>
      <c r="X117" s="316" t="n">
        <f aca="false">X85+X86+X90+X103+X112+X116</f>
        <v>1004916.86620065</v>
      </c>
      <c r="Y117" s="317" t="n">
        <f aca="false">Y85+Y86+Y90+Y103+Y112+Y116</f>
        <v>1004916.86620065</v>
      </c>
      <c r="Z117" s="318" t="n">
        <f aca="false">Z85+Z86+Z90+Z103+Z112+Z116</f>
        <v>0</v>
      </c>
      <c r="AA117" s="319" t="n">
        <f aca="false">AA85+AA86+AA90+AA103+AA112+AA116</f>
        <v>0</v>
      </c>
      <c r="AB117" s="266" t="n">
        <f aca="false">IFERROR(X117/P117,0)</f>
        <v>0.96</v>
      </c>
      <c r="AC117" s="320"/>
      <c r="AD117" s="94"/>
      <c r="AE117" s="268"/>
      <c r="AF117" s="94"/>
      <c r="AG117" s="94"/>
    </row>
    <row r="118" customFormat="false" ht="15.75" hidden="false" customHeight="false" outlineLevel="0" collapsed="false">
      <c r="A118" s="17" t="s">
        <v>243</v>
      </c>
      <c r="B118" s="137" t="s">
        <v>244</v>
      </c>
      <c r="C118" s="137"/>
      <c r="D118" s="137"/>
      <c r="E118" s="137"/>
      <c r="F118" s="137"/>
      <c r="G118" s="137"/>
      <c r="H118" s="137"/>
      <c r="I118" s="137"/>
      <c r="J118" s="137"/>
      <c r="K118" s="137"/>
      <c r="L118" s="137"/>
      <c r="M118" s="137"/>
      <c r="N118" s="137"/>
      <c r="O118" s="137"/>
      <c r="P118" s="137"/>
      <c r="Q118" s="137"/>
      <c r="R118" s="137"/>
      <c r="S118" s="137"/>
      <c r="T118" s="137"/>
      <c r="U118" s="137"/>
      <c r="V118" s="137"/>
      <c r="W118" s="137"/>
      <c r="X118" s="137"/>
      <c r="Y118" s="137"/>
      <c r="Z118" s="137"/>
      <c r="AA118" s="137"/>
      <c r="AB118" s="142"/>
      <c r="AC118" s="143"/>
    </row>
    <row r="119" customFormat="false" ht="45" hidden="false" customHeight="false" outlineLevel="0" collapsed="false">
      <c r="A119" s="321" t="s">
        <v>245</v>
      </c>
      <c r="B119" s="322" t="s">
        <v>246</v>
      </c>
      <c r="C119" s="283" t="s">
        <v>90</v>
      </c>
      <c r="D119" s="207" t="n">
        <f aca="false">SUM(E119:G119)</f>
        <v>0</v>
      </c>
      <c r="E119" s="284"/>
      <c r="F119" s="285"/>
      <c r="G119" s="286"/>
      <c r="H119" s="207" t="n">
        <f aca="false">SUM(I119:K119)</f>
        <v>0</v>
      </c>
      <c r="I119" s="284"/>
      <c r="J119" s="285"/>
      <c r="K119" s="286"/>
      <c r="L119" s="207" t="n">
        <f aca="false">SUM(M119:O119)</f>
        <v>0</v>
      </c>
      <c r="M119" s="284"/>
      <c r="N119" s="285"/>
      <c r="O119" s="286"/>
      <c r="P119" s="207" t="n">
        <f aca="false">SUM(Q119:S119)</f>
        <v>0</v>
      </c>
      <c r="Q119" s="284"/>
      <c r="R119" s="285"/>
      <c r="S119" s="286"/>
      <c r="T119" s="207" t="n">
        <f aca="false">SUM(U119:W119)</f>
        <v>0</v>
      </c>
      <c r="U119" s="284"/>
      <c r="V119" s="285"/>
      <c r="W119" s="286"/>
      <c r="X119" s="207" t="n">
        <f aca="false">SUM(Y119:AA119)</f>
        <v>0</v>
      </c>
      <c r="Y119" s="284"/>
      <c r="Z119" s="285"/>
      <c r="AA119" s="286"/>
      <c r="AB119" s="211" t="n">
        <f aca="false">IFERROR(X119/P119,0)</f>
        <v>0</v>
      </c>
      <c r="AC119" s="323"/>
      <c r="AD119" s="94"/>
      <c r="AE119" s="94"/>
      <c r="AF119" s="94"/>
      <c r="AG119" s="94"/>
    </row>
    <row r="120" customFormat="false" ht="30" hidden="false" customHeight="false" outlineLevel="0" collapsed="false">
      <c r="A120" s="324" t="s">
        <v>247</v>
      </c>
      <c r="B120" s="325" t="s">
        <v>248</v>
      </c>
      <c r="C120" s="290" t="s">
        <v>90</v>
      </c>
      <c r="D120" s="326" t="n">
        <f aca="false">D121+D122+D123+D126+D127</f>
        <v>66.53169</v>
      </c>
      <c r="E120" s="291" t="n">
        <f aca="false">E121+E122+E123+E126+E127</f>
        <v>66.53169</v>
      </c>
      <c r="F120" s="293" t="n">
        <f aca="false">F121+F122+F123+F126+F127</f>
        <v>0</v>
      </c>
      <c r="G120" s="327" t="n">
        <f aca="false">G121+G122+G123+G126+G127</f>
        <v>0</v>
      </c>
      <c r="H120" s="326" t="n">
        <f aca="false">H121+H122+H123+H126+H127</f>
        <v>84.6954</v>
      </c>
      <c r="I120" s="291" t="n">
        <f aca="false">I121+I122+I123+I126+I127</f>
        <v>84.6954</v>
      </c>
      <c r="J120" s="293" t="n">
        <f aca="false">J121+J122+J123+J126+J127</f>
        <v>0</v>
      </c>
      <c r="K120" s="327" t="n">
        <f aca="false">K121+K122+K123+K126+K127</f>
        <v>0</v>
      </c>
      <c r="L120" s="326" t="n">
        <f aca="false">L121+L122+L123+L126+L127</f>
        <v>0</v>
      </c>
      <c r="M120" s="291" t="n">
        <f aca="false">M121+M122+M123+M126+M127</f>
        <v>0</v>
      </c>
      <c r="N120" s="293" t="n">
        <f aca="false">N121+N122+N123+N126+N127</f>
        <v>0</v>
      </c>
      <c r="O120" s="327" t="n">
        <f aca="false">O121+O122+O123+O126+O127</f>
        <v>0</v>
      </c>
      <c r="P120" s="326" t="n">
        <f aca="false">P121+P122+P123+P126+P127</f>
        <v>73</v>
      </c>
      <c r="Q120" s="291" t="n">
        <f aca="false">Q121+Q122+Q123+Q126+Q127</f>
        <v>73</v>
      </c>
      <c r="R120" s="293" t="n">
        <f aca="false">R121+R122+R123+R126+R127</f>
        <v>0</v>
      </c>
      <c r="S120" s="327" t="n">
        <f aca="false">S121+S122+S123+S126+S127</f>
        <v>0</v>
      </c>
      <c r="T120" s="326" t="n">
        <f aca="false">T121+T122+T123+T126+T127</f>
        <v>85.0494</v>
      </c>
      <c r="U120" s="291" t="n">
        <f aca="false">U121+U122+U123+U126+U127</f>
        <v>85.0494</v>
      </c>
      <c r="V120" s="293" t="n">
        <f aca="false">V121+V122+V123+V126+V127</f>
        <v>0</v>
      </c>
      <c r="W120" s="327" t="n">
        <f aca="false">W121+W122+W123+W126+W127</f>
        <v>0</v>
      </c>
      <c r="X120" s="326" t="n">
        <f aca="false">X121+X122+X123+X126+X127</f>
        <v>0</v>
      </c>
      <c r="Y120" s="291" t="n">
        <f aca="false">Y121+Y122+Y123+Y126+Y127</f>
        <v>0</v>
      </c>
      <c r="Z120" s="293" t="n">
        <f aca="false">Z121+Z122+Z123+Z126+Z127</f>
        <v>0</v>
      </c>
      <c r="AA120" s="327" t="n">
        <f aca="false">AA121+AA122+AA123+AA126+AA127</f>
        <v>0</v>
      </c>
      <c r="AB120" s="220" t="n">
        <f aca="false">IFERROR(X120/P120,0)</f>
        <v>0</v>
      </c>
      <c r="AC120" s="328"/>
    </row>
    <row r="121" customFormat="false" ht="54.7" hidden="false" customHeight="false" outlineLevel="0" collapsed="false">
      <c r="A121" s="329" t="s">
        <v>249</v>
      </c>
      <c r="B121" s="330" t="s">
        <v>250</v>
      </c>
      <c r="C121" s="158" t="s">
        <v>90</v>
      </c>
      <c r="D121" s="331" t="n">
        <f aca="false">SUM(E121:G121)</f>
        <v>54.3</v>
      </c>
      <c r="E121" s="332" t="n">
        <v>54.3</v>
      </c>
      <c r="F121" s="175"/>
      <c r="G121" s="333"/>
      <c r="H121" s="331" t="n">
        <f aca="false">SUM(I121:K121)</f>
        <v>70.54866</v>
      </c>
      <c r="I121" s="332" t="n">
        <v>70.54866</v>
      </c>
      <c r="J121" s="175"/>
      <c r="K121" s="333"/>
      <c r="L121" s="331" t="n">
        <f aca="false">SUM(M121:O121)</f>
        <v>0</v>
      </c>
      <c r="M121" s="332"/>
      <c r="N121" s="175"/>
      <c r="O121" s="333"/>
      <c r="P121" s="331" t="n">
        <f aca="false">SUM(Q121:S121)</f>
        <v>56</v>
      </c>
      <c r="Q121" s="332" t="n">
        <v>56</v>
      </c>
      <c r="R121" s="175"/>
      <c r="S121" s="333"/>
      <c r="T121" s="331" t="n">
        <f aca="false">SUM(U121:W121)</f>
        <v>70.90266</v>
      </c>
      <c r="U121" s="332" t="n">
        <v>70.90266</v>
      </c>
      <c r="V121" s="175" t="n">
        <v>0</v>
      </c>
      <c r="W121" s="333" t="n">
        <v>0</v>
      </c>
      <c r="X121" s="331" t="n">
        <f aca="false">SUM(Y121:AA121)</f>
        <v>0</v>
      </c>
      <c r="Y121" s="332" t="n">
        <v>0</v>
      </c>
      <c r="Z121" s="175" t="n">
        <v>0</v>
      </c>
      <c r="AA121" s="333" t="n">
        <v>0</v>
      </c>
      <c r="AB121" s="173" t="n">
        <f aca="false">IFERROR(X121/P121,0)</f>
        <v>0</v>
      </c>
      <c r="AC121" s="334"/>
    </row>
    <row r="122" customFormat="false" ht="15" hidden="false" customHeight="false" outlineLevel="0" collapsed="false">
      <c r="A122" s="329" t="s">
        <v>251</v>
      </c>
      <c r="B122" s="330" t="s">
        <v>252</v>
      </c>
      <c r="C122" s="158" t="s">
        <v>90</v>
      </c>
      <c r="D122" s="331" t="n">
        <f aca="false">SUM(E122:G122)</f>
        <v>0</v>
      </c>
      <c r="E122" s="332"/>
      <c r="F122" s="175"/>
      <c r="G122" s="333"/>
      <c r="H122" s="331" t="n">
        <f aca="false">SUM(I122:K122)</f>
        <v>0</v>
      </c>
      <c r="I122" s="332"/>
      <c r="J122" s="175"/>
      <c r="K122" s="333"/>
      <c r="L122" s="331" t="n">
        <f aca="false">SUM(M122:O122)</f>
        <v>0</v>
      </c>
      <c r="M122" s="332"/>
      <c r="N122" s="175"/>
      <c r="O122" s="333"/>
      <c r="P122" s="331" t="n">
        <f aca="false">SUM(Q122:S122)</f>
        <v>0</v>
      </c>
      <c r="Q122" s="332"/>
      <c r="R122" s="175"/>
      <c r="S122" s="333"/>
      <c r="T122" s="331" t="n">
        <f aca="false">SUM(U122:W122)</f>
        <v>0</v>
      </c>
      <c r="U122" s="332" t="n">
        <v>0</v>
      </c>
      <c r="V122" s="175" t="n">
        <v>0</v>
      </c>
      <c r="W122" s="333" t="n">
        <v>0</v>
      </c>
      <c r="X122" s="331" t="n">
        <f aca="false">SUM(Y122:AA122)</f>
        <v>0</v>
      </c>
      <c r="Y122" s="332" t="n">
        <v>0</v>
      </c>
      <c r="Z122" s="175" t="n">
        <v>0</v>
      </c>
      <c r="AA122" s="333" t="n">
        <v>0</v>
      </c>
      <c r="AB122" s="173" t="n">
        <f aca="false">IFERROR(X122/P122,0)</f>
        <v>0</v>
      </c>
      <c r="AC122" s="334"/>
    </row>
    <row r="123" customFormat="false" ht="15" hidden="false" customHeight="false" outlineLevel="0" collapsed="false">
      <c r="A123" s="329" t="s">
        <v>253</v>
      </c>
      <c r="B123" s="330" t="s">
        <v>254</v>
      </c>
      <c r="C123" s="158" t="s">
        <v>90</v>
      </c>
      <c r="D123" s="331" t="n">
        <f aca="false">D124+D125</f>
        <v>0</v>
      </c>
      <c r="E123" s="298" t="n">
        <f aca="false">SUM(E124:E125)</f>
        <v>0</v>
      </c>
      <c r="F123" s="171" t="n">
        <f aca="false">SUM(F124:F125)</f>
        <v>0</v>
      </c>
      <c r="G123" s="335" t="n">
        <f aca="false">SUM(G124:G125)</f>
        <v>0</v>
      </c>
      <c r="H123" s="331" t="n">
        <f aca="false">H124+H125</f>
        <v>0</v>
      </c>
      <c r="I123" s="298" t="n">
        <f aca="false">SUM(I124:I125)</f>
        <v>0</v>
      </c>
      <c r="J123" s="171" t="n">
        <f aca="false">SUM(J124:J125)</f>
        <v>0</v>
      </c>
      <c r="K123" s="335" t="n">
        <f aca="false">SUM(K124:K125)</f>
        <v>0</v>
      </c>
      <c r="L123" s="331" t="n">
        <f aca="false">L124+L125</f>
        <v>0</v>
      </c>
      <c r="M123" s="298" t="n">
        <f aca="false">SUM(M124:M125)</f>
        <v>0</v>
      </c>
      <c r="N123" s="171" t="n">
        <f aca="false">SUM(N124:N125)</f>
        <v>0</v>
      </c>
      <c r="O123" s="335" t="n">
        <f aca="false">SUM(O124:O125)</f>
        <v>0</v>
      </c>
      <c r="P123" s="331" t="n">
        <f aca="false">P124+P125</f>
        <v>0</v>
      </c>
      <c r="Q123" s="298" t="n">
        <f aca="false">SUM(Q124:Q125)</f>
        <v>0</v>
      </c>
      <c r="R123" s="171" t="n">
        <f aca="false">SUM(R124:R125)</f>
        <v>0</v>
      </c>
      <c r="S123" s="335" t="n">
        <f aca="false">SUM(S124:S125)</f>
        <v>0</v>
      </c>
      <c r="T123" s="331" t="n">
        <f aca="false">T124+T125</f>
        <v>0</v>
      </c>
      <c r="U123" s="298" t="n">
        <f aca="false">SUM(U124:U125)</f>
        <v>0</v>
      </c>
      <c r="V123" s="171" t="n">
        <f aca="false">SUM(V124:V125)</f>
        <v>0</v>
      </c>
      <c r="W123" s="335" t="n">
        <f aca="false">SUM(W124:W125)</f>
        <v>0</v>
      </c>
      <c r="X123" s="331" t="n">
        <f aca="false">X124+X125</f>
        <v>0</v>
      </c>
      <c r="Y123" s="298" t="n">
        <f aca="false">SUM(Y124:Y125)</f>
        <v>0</v>
      </c>
      <c r="Z123" s="171" t="n">
        <f aca="false">SUM(Z124:Z125)</f>
        <v>0</v>
      </c>
      <c r="AA123" s="335" t="n">
        <f aca="false">SUM(AA124:AA125)</f>
        <v>0</v>
      </c>
      <c r="AB123" s="173" t="n">
        <f aca="false">IFERROR(X123/P123,0)</f>
        <v>0</v>
      </c>
      <c r="AC123" s="334"/>
    </row>
    <row r="124" customFormat="false" ht="15" hidden="false" customHeight="false" outlineLevel="0" collapsed="false">
      <c r="A124" s="329" t="s">
        <v>255</v>
      </c>
      <c r="B124" s="336" t="s">
        <v>256</v>
      </c>
      <c r="C124" s="158" t="s">
        <v>90</v>
      </c>
      <c r="D124" s="331" t="n">
        <f aca="false">SUM(E124:G124)</f>
        <v>0</v>
      </c>
      <c r="E124" s="332"/>
      <c r="F124" s="175"/>
      <c r="G124" s="333"/>
      <c r="H124" s="331" t="n">
        <f aca="false">SUM(I124:K124)</f>
        <v>0</v>
      </c>
      <c r="I124" s="332"/>
      <c r="J124" s="175"/>
      <c r="K124" s="333"/>
      <c r="L124" s="331" t="n">
        <f aca="false">SUM(M124:O124)</f>
        <v>0</v>
      </c>
      <c r="M124" s="332"/>
      <c r="N124" s="175"/>
      <c r="O124" s="333"/>
      <c r="P124" s="331" t="n">
        <f aca="false">SUM(Q124:S124)</f>
        <v>0</v>
      </c>
      <c r="Q124" s="332"/>
      <c r="R124" s="175"/>
      <c r="S124" s="333"/>
      <c r="T124" s="331" t="n">
        <f aca="false">SUM(U124:W124)</f>
        <v>0</v>
      </c>
      <c r="U124" s="332" t="n">
        <v>0</v>
      </c>
      <c r="V124" s="175" t="n">
        <v>0</v>
      </c>
      <c r="W124" s="333" t="n">
        <v>0</v>
      </c>
      <c r="X124" s="331" t="n">
        <f aca="false">SUM(Y124:AA124)</f>
        <v>0</v>
      </c>
      <c r="Y124" s="332" t="n">
        <v>0</v>
      </c>
      <c r="Z124" s="175" t="n">
        <v>0</v>
      </c>
      <c r="AA124" s="333" t="n">
        <v>0</v>
      </c>
      <c r="AB124" s="173" t="n">
        <f aca="false">IFERROR(X124/P124,0)</f>
        <v>0</v>
      </c>
      <c r="AC124" s="328"/>
    </row>
    <row r="125" customFormat="false" ht="30" hidden="false" customHeight="false" outlineLevel="0" collapsed="false">
      <c r="A125" s="329" t="s">
        <v>257</v>
      </c>
      <c r="B125" s="336" t="s">
        <v>258</v>
      </c>
      <c r="C125" s="158" t="s">
        <v>90</v>
      </c>
      <c r="D125" s="331" t="n">
        <f aca="false">SUM(E125:G125)</f>
        <v>0</v>
      </c>
      <c r="E125" s="332"/>
      <c r="F125" s="175"/>
      <c r="G125" s="333"/>
      <c r="H125" s="331" t="n">
        <f aca="false">SUM(I125:K125)</f>
        <v>0</v>
      </c>
      <c r="I125" s="332"/>
      <c r="J125" s="175"/>
      <c r="K125" s="333"/>
      <c r="L125" s="331" t="n">
        <f aca="false">SUM(M125:O125)</f>
        <v>0</v>
      </c>
      <c r="M125" s="332"/>
      <c r="N125" s="175"/>
      <c r="O125" s="333"/>
      <c r="P125" s="331" t="n">
        <f aca="false">SUM(Q125:S125)</f>
        <v>0</v>
      </c>
      <c r="Q125" s="332"/>
      <c r="R125" s="175"/>
      <c r="S125" s="333"/>
      <c r="T125" s="331" t="n">
        <f aca="false">SUM(U125:W125)</f>
        <v>0</v>
      </c>
      <c r="U125" s="332" t="n">
        <v>0</v>
      </c>
      <c r="V125" s="175" t="n">
        <v>0</v>
      </c>
      <c r="W125" s="333" t="n">
        <v>0</v>
      </c>
      <c r="X125" s="331" t="n">
        <f aca="false">SUM(Y125:AA125)</f>
        <v>0</v>
      </c>
      <c r="Y125" s="332" t="n">
        <v>0</v>
      </c>
      <c r="Z125" s="175" t="n">
        <v>0</v>
      </c>
      <c r="AA125" s="333" t="n">
        <v>0</v>
      </c>
      <c r="AB125" s="173" t="n">
        <f aca="false">IFERROR(X125/P125,0)</f>
        <v>0</v>
      </c>
      <c r="AC125" s="334"/>
    </row>
    <row r="126" customFormat="false" ht="15" hidden="false" customHeight="false" outlineLevel="0" collapsed="false">
      <c r="A126" s="329" t="s">
        <v>259</v>
      </c>
      <c r="B126" s="330" t="s">
        <v>260</v>
      </c>
      <c r="C126" s="158" t="s">
        <v>90</v>
      </c>
      <c r="D126" s="331" t="n">
        <f aca="false">SUM(E126:G126)</f>
        <v>0</v>
      </c>
      <c r="E126" s="332"/>
      <c r="F126" s="175"/>
      <c r="G126" s="333"/>
      <c r="H126" s="331" t="n">
        <f aca="false">SUM(I126:K126)</f>
        <v>0</v>
      </c>
      <c r="I126" s="332"/>
      <c r="J126" s="175"/>
      <c r="K126" s="333"/>
      <c r="L126" s="331" t="n">
        <f aca="false">SUM(M126:O126)</f>
        <v>0</v>
      </c>
      <c r="M126" s="332"/>
      <c r="N126" s="175"/>
      <c r="O126" s="333"/>
      <c r="P126" s="331" t="n">
        <f aca="false">SUM(Q126:S126)</f>
        <v>0</v>
      </c>
      <c r="Q126" s="332"/>
      <c r="R126" s="175"/>
      <c r="S126" s="333"/>
      <c r="T126" s="331" t="n">
        <f aca="false">SUM(U126:W126)</f>
        <v>0</v>
      </c>
      <c r="U126" s="332" t="n">
        <v>0</v>
      </c>
      <c r="V126" s="175" t="n">
        <v>0</v>
      </c>
      <c r="W126" s="333" t="n">
        <v>0</v>
      </c>
      <c r="X126" s="331" t="n">
        <f aca="false">SUM(Y126:AA126)</f>
        <v>0</v>
      </c>
      <c r="Y126" s="332" t="n">
        <v>0</v>
      </c>
      <c r="Z126" s="175" t="n">
        <v>0</v>
      </c>
      <c r="AA126" s="333" t="n">
        <v>0</v>
      </c>
      <c r="AB126" s="173" t="n">
        <f aca="false">IFERROR(X126/P126,0)</f>
        <v>0</v>
      </c>
      <c r="AC126" s="328"/>
    </row>
    <row r="127" customFormat="false" ht="15" hidden="false" customHeight="false" outlineLevel="0" collapsed="false">
      <c r="A127" s="329" t="s">
        <v>261</v>
      </c>
      <c r="B127" s="330" t="s">
        <v>262</v>
      </c>
      <c r="C127" s="158" t="s">
        <v>90</v>
      </c>
      <c r="D127" s="331" t="n">
        <f aca="false">SUM(E127:G127)</f>
        <v>12.23169</v>
      </c>
      <c r="E127" s="332" t="n">
        <v>12.23169</v>
      </c>
      <c r="F127" s="175"/>
      <c r="G127" s="333"/>
      <c r="H127" s="331" t="n">
        <f aca="false">SUM(I127:K127)</f>
        <v>14.14674</v>
      </c>
      <c r="I127" s="332" t="n">
        <v>14.14674</v>
      </c>
      <c r="J127" s="175"/>
      <c r="K127" s="333"/>
      <c r="L127" s="331" t="n">
        <f aca="false">SUM(M127:O127)</f>
        <v>0</v>
      </c>
      <c r="M127" s="332"/>
      <c r="N127" s="175"/>
      <c r="O127" s="333"/>
      <c r="P127" s="331" t="n">
        <f aca="false">SUM(Q127:S127)</f>
        <v>17</v>
      </c>
      <c r="Q127" s="332" t="n">
        <v>17</v>
      </c>
      <c r="R127" s="175"/>
      <c r="S127" s="333"/>
      <c r="T127" s="331" t="n">
        <f aca="false">SUM(U127:W127)</f>
        <v>14.14674</v>
      </c>
      <c r="U127" s="332" t="n">
        <v>14.14674</v>
      </c>
      <c r="V127" s="175" t="n">
        <v>0</v>
      </c>
      <c r="W127" s="333" t="n">
        <v>0</v>
      </c>
      <c r="X127" s="331" t="n">
        <f aca="false">SUM(Y127:AA127)</f>
        <v>0</v>
      </c>
      <c r="Y127" s="332" t="n">
        <v>0</v>
      </c>
      <c r="Z127" s="175" t="n">
        <v>0</v>
      </c>
      <c r="AA127" s="333" t="n">
        <v>0</v>
      </c>
      <c r="AB127" s="173" t="n">
        <f aca="false">IFERROR(X127/P127,0)</f>
        <v>0</v>
      </c>
      <c r="AC127" s="334"/>
    </row>
    <row r="128" customFormat="false" ht="30" hidden="false" customHeight="false" outlineLevel="0" collapsed="false">
      <c r="A128" s="337" t="s">
        <v>263</v>
      </c>
      <c r="B128" s="338" t="s">
        <v>264</v>
      </c>
      <c r="C128" s="290" t="s">
        <v>90</v>
      </c>
      <c r="D128" s="326" t="n">
        <f aca="false">D129+D130</f>
        <v>388984.417017394</v>
      </c>
      <c r="E128" s="339" t="n">
        <f aca="false">SUM(E129:E130)</f>
        <v>388984.417017394</v>
      </c>
      <c r="F128" s="293" t="n">
        <f aca="false">SUM(F129:F130)</f>
        <v>0</v>
      </c>
      <c r="G128" s="340" t="n">
        <f aca="false">SUM(G129:G130)</f>
        <v>0</v>
      </c>
      <c r="H128" s="326" t="n">
        <f aca="false">H129+H130</f>
        <v>490788.567867792</v>
      </c>
      <c r="I128" s="339" t="n">
        <f aca="false">SUM(I129:I130)</f>
        <v>490788.567867792</v>
      </c>
      <c r="J128" s="293" t="n">
        <f aca="false">SUM(J129:J130)</f>
        <v>0</v>
      </c>
      <c r="K128" s="340" t="n">
        <f aca="false">SUM(K129:K130)</f>
        <v>0</v>
      </c>
      <c r="L128" s="326" t="n">
        <f aca="false">L129+L130</f>
        <v>0</v>
      </c>
      <c r="M128" s="339" t="n">
        <f aca="false">SUM(M129:M130)</f>
        <v>0</v>
      </c>
      <c r="N128" s="293" t="n">
        <f aca="false">SUM(N129:N130)</f>
        <v>0</v>
      </c>
      <c r="O128" s="340" t="n">
        <f aca="false">SUM(O129:O130)</f>
        <v>0</v>
      </c>
      <c r="P128" s="326" t="n">
        <f aca="false">P129+P130</f>
        <v>343400.581830485</v>
      </c>
      <c r="Q128" s="339" t="n">
        <f aca="false">SUM(Q129:Q130)</f>
        <v>343400.581830485</v>
      </c>
      <c r="R128" s="293" t="n">
        <f aca="false">SUM(R129:R130)</f>
        <v>0</v>
      </c>
      <c r="S128" s="340" t="n">
        <f aca="false">SUM(S129:S130)</f>
        <v>0</v>
      </c>
      <c r="T128" s="326" t="n">
        <f aca="false">T129+T130</f>
        <v>540115.492658004</v>
      </c>
      <c r="U128" s="339" t="n">
        <f aca="false">SUM(U129:U130)</f>
        <v>540115.492658004</v>
      </c>
      <c r="V128" s="293" t="n">
        <f aca="false">SUM(V129:V130)</f>
        <v>0</v>
      </c>
      <c r="W128" s="340" t="n">
        <f aca="false">SUM(W129:W130)</f>
        <v>0</v>
      </c>
      <c r="X128" s="326" t="n">
        <f aca="false">X129+X130</f>
        <v>0</v>
      </c>
      <c r="Y128" s="339" t="n">
        <f aca="false">SUM(Y129:Y130)</f>
        <v>0</v>
      </c>
      <c r="Z128" s="293" t="n">
        <f aca="false">SUM(Z129:Z130)</f>
        <v>0</v>
      </c>
      <c r="AA128" s="340" t="n">
        <f aca="false">SUM(AA129:AA130)</f>
        <v>0</v>
      </c>
      <c r="AB128" s="220" t="n">
        <f aca="false">IFERROR(X128/P128,0)</f>
        <v>0</v>
      </c>
      <c r="AC128" s="341"/>
      <c r="AD128" s="94"/>
      <c r="AE128" s="94"/>
      <c r="AF128" s="94"/>
      <c r="AG128" s="94"/>
    </row>
    <row r="129" customFormat="false" ht="15" hidden="false" customHeight="false" outlineLevel="0" collapsed="false">
      <c r="A129" s="329" t="s">
        <v>265</v>
      </c>
      <c r="B129" s="330" t="s">
        <v>266</v>
      </c>
      <c r="C129" s="158" t="s">
        <v>90</v>
      </c>
      <c r="D129" s="331" t="n">
        <f aca="false">SUM(E129:G129)</f>
        <v>388984.417017394</v>
      </c>
      <c r="E129" s="332" t="n">
        <v>388984.417017394</v>
      </c>
      <c r="F129" s="175"/>
      <c r="G129" s="342"/>
      <c r="H129" s="331" t="n">
        <f aca="false">SUM(I129:K129)</f>
        <v>490788.567867792</v>
      </c>
      <c r="I129" s="332" t="n">
        <v>490788.567867792</v>
      </c>
      <c r="J129" s="175"/>
      <c r="K129" s="342"/>
      <c r="L129" s="331" t="n">
        <f aca="false">SUM(M129:O129)</f>
        <v>0</v>
      </c>
      <c r="M129" s="332"/>
      <c r="N129" s="175"/>
      <c r="O129" s="342"/>
      <c r="P129" s="331" t="n">
        <f aca="false">SUM(Q129:S129)</f>
        <v>343400.581830485</v>
      </c>
      <c r="Q129" s="332" t="n">
        <v>343400.581830485</v>
      </c>
      <c r="R129" s="175"/>
      <c r="S129" s="342"/>
      <c r="T129" s="331" t="n">
        <f aca="false">SUM(U129:W129)</f>
        <v>540115.492658004</v>
      </c>
      <c r="U129" s="332" t="n">
        <v>540115.492658004</v>
      </c>
      <c r="V129" s="175" t="n">
        <v>0</v>
      </c>
      <c r="W129" s="342" t="n">
        <v>0</v>
      </c>
      <c r="X129" s="331" t="n">
        <f aca="false">SUM(Y129:AA129)</f>
        <v>0</v>
      </c>
      <c r="Y129" s="332" t="n">
        <v>0</v>
      </c>
      <c r="Z129" s="175" t="n">
        <v>0</v>
      </c>
      <c r="AA129" s="342" t="n">
        <v>0</v>
      </c>
      <c r="AB129" s="173" t="n">
        <f aca="false">IFERROR(X129/P129,0)</f>
        <v>0</v>
      </c>
      <c r="AC129" s="305"/>
    </row>
    <row r="130" customFormat="false" ht="15" hidden="false" customHeight="false" outlineLevel="0" collapsed="false">
      <c r="A130" s="329" t="s">
        <v>267</v>
      </c>
      <c r="B130" s="330" t="s">
        <v>268</v>
      </c>
      <c r="C130" s="158" t="s">
        <v>90</v>
      </c>
      <c r="D130" s="331" t="n">
        <f aca="false">SUM(E130:G130)</f>
        <v>0</v>
      </c>
      <c r="E130" s="332"/>
      <c r="F130" s="175"/>
      <c r="G130" s="333"/>
      <c r="H130" s="331" t="n">
        <f aca="false">SUM(I130:K130)</f>
        <v>0</v>
      </c>
      <c r="I130" s="332"/>
      <c r="J130" s="175"/>
      <c r="K130" s="333"/>
      <c r="L130" s="331" t="n">
        <f aca="false">SUM(M130:O130)</f>
        <v>0</v>
      </c>
      <c r="M130" s="332"/>
      <c r="N130" s="175"/>
      <c r="O130" s="333"/>
      <c r="P130" s="331" t="n">
        <f aca="false">SUM(Q130:S130)</f>
        <v>0</v>
      </c>
      <c r="Q130" s="332"/>
      <c r="R130" s="175"/>
      <c r="S130" s="333"/>
      <c r="T130" s="331" t="n">
        <f aca="false">SUM(U130:W130)</f>
        <v>0</v>
      </c>
      <c r="U130" s="332"/>
      <c r="V130" s="175"/>
      <c r="W130" s="333"/>
      <c r="X130" s="331" t="n">
        <f aca="false">SUM(Y130:AA130)</f>
        <v>0</v>
      </c>
      <c r="Y130" s="332"/>
      <c r="Z130" s="175"/>
      <c r="AA130" s="333"/>
      <c r="AB130" s="173" t="n">
        <f aca="false">IFERROR(X130/P130,0)</f>
        <v>0</v>
      </c>
      <c r="AC130" s="295"/>
    </row>
    <row r="131" customFormat="false" ht="30" hidden="false" customHeight="false" outlineLevel="0" collapsed="false">
      <c r="A131" s="324" t="s">
        <v>269</v>
      </c>
      <c r="B131" s="325" t="s">
        <v>270</v>
      </c>
      <c r="C131" s="290" t="s">
        <v>90</v>
      </c>
      <c r="D131" s="326" t="n">
        <f aca="false">D132+D133</f>
        <v>7567.51000507218</v>
      </c>
      <c r="E131" s="339" t="n">
        <f aca="false">SUM(E132:E133)</f>
        <v>7567.51000507218</v>
      </c>
      <c r="F131" s="293" t="n">
        <f aca="false">SUM(F132:F133)</f>
        <v>0</v>
      </c>
      <c r="G131" s="340" t="n">
        <f aca="false">SUM(G132:G133)</f>
        <v>0</v>
      </c>
      <c r="H131" s="326" t="n">
        <f aca="false">H132+H133</f>
        <v>6311.39</v>
      </c>
      <c r="I131" s="339" t="n">
        <f aca="false">SUM(I132:I133)</f>
        <v>6311.39</v>
      </c>
      <c r="J131" s="293" t="n">
        <f aca="false">SUM(J132:J133)</f>
        <v>0</v>
      </c>
      <c r="K131" s="340" t="n">
        <f aca="false">SUM(K132:K133)</f>
        <v>0</v>
      </c>
      <c r="L131" s="326" t="n">
        <f aca="false">L132+L133</f>
        <v>0</v>
      </c>
      <c r="M131" s="339" t="n">
        <f aca="false">SUM(M132:M133)</f>
        <v>0</v>
      </c>
      <c r="N131" s="293" t="n">
        <f aca="false">SUM(N132:N133)</f>
        <v>0</v>
      </c>
      <c r="O131" s="340" t="n">
        <f aca="false">SUM(O132:O133)</f>
        <v>0</v>
      </c>
      <c r="P131" s="326" t="n">
        <f aca="false">P132+P133</f>
        <v>1134.237</v>
      </c>
      <c r="Q131" s="339" t="n">
        <f aca="false">SUM(Q132:Q133)</f>
        <v>1134.237</v>
      </c>
      <c r="R131" s="293" t="n">
        <f aca="false">SUM(R132:R133)</f>
        <v>0</v>
      </c>
      <c r="S131" s="340" t="n">
        <f aca="false">SUM(S132:S133)</f>
        <v>0</v>
      </c>
      <c r="T131" s="326" t="n">
        <f aca="false">T132+T133</f>
        <v>6311.38998</v>
      </c>
      <c r="U131" s="339" t="n">
        <f aca="false">SUM(U132:U133)</f>
        <v>6311.38998</v>
      </c>
      <c r="V131" s="293" t="n">
        <f aca="false">SUM(V132:V133)</f>
        <v>0</v>
      </c>
      <c r="W131" s="340" t="n">
        <f aca="false">SUM(W132:W133)</f>
        <v>0</v>
      </c>
      <c r="X131" s="326" t="n">
        <f aca="false">X132+X133</f>
        <v>0</v>
      </c>
      <c r="Y131" s="339" t="n">
        <f aca="false">SUM(Y132:Y133)</f>
        <v>0</v>
      </c>
      <c r="Z131" s="293" t="n">
        <f aca="false">SUM(Z132:Z133)</f>
        <v>0</v>
      </c>
      <c r="AA131" s="340" t="n">
        <f aca="false">SUM(AA132:AA133)</f>
        <v>0</v>
      </c>
      <c r="AB131" s="220" t="n">
        <f aca="false">IFERROR(X131/P131,0)</f>
        <v>0</v>
      </c>
      <c r="AC131" s="341"/>
    </row>
    <row r="132" customFormat="false" ht="15" hidden="false" customHeight="false" outlineLevel="0" collapsed="false">
      <c r="A132" s="329" t="s">
        <v>271</v>
      </c>
      <c r="B132" s="330" t="s">
        <v>256</v>
      </c>
      <c r="C132" s="158" t="s">
        <v>90</v>
      </c>
      <c r="D132" s="331" t="n">
        <f aca="false">SUM(E132:G132)</f>
        <v>7567.51000507218</v>
      </c>
      <c r="E132" s="332" t="n">
        <v>7567.51000507218</v>
      </c>
      <c r="F132" s="175"/>
      <c r="G132" s="342"/>
      <c r="H132" s="331" t="n">
        <f aca="false">SUM(I132:K132)</f>
        <v>6311.39</v>
      </c>
      <c r="I132" s="343" t="n">
        <v>6311.39</v>
      </c>
      <c r="J132" s="175"/>
      <c r="K132" s="342"/>
      <c r="L132" s="331" t="n">
        <f aca="false">SUM(M132:O132)</f>
        <v>0</v>
      </c>
      <c r="M132" s="332"/>
      <c r="N132" s="175"/>
      <c r="O132" s="342"/>
      <c r="P132" s="331" t="n">
        <f aca="false">SUM(Q132:S132)</f>
        <v>1134.237</v>
      </c>
      <c r="Q132" s="332" t="n">
        <v>1134.237</v>
      </c>
      <c r="R132" s="175"/>
      <c r="S132" s="342"/>
      <c r="T132" s="331" t="n">
        <f aca="false">SUM(U132:W132)</f>
        <v>6311.38998</v>
      </c>
      <c r="U132" s="332" t="n">
        <v>6311.38998</v>
      </c>
      <c r="V132" s="175" t="n">
        <v>0</v>
      </c>
      <c r="W132" s="342" t="n">
        <v>0</v>
      </c>
      <c r="X132" s="331" t="n">
        <f aca="false">SUM(Y132:AA132)</f>
        <v>0</v>
      </c>
      <c r="Y132" s="332" t="n">
        <v>0</v>
      </c>
      <c r="Z132" s="175" t="n">
        <v>0</v>
      </c>
      <c r="AA132" s="342" t="n">
        <v>0</v>
      </c>
      <c r="AB132" s="173" t="n">
        <f aca="false">IFERROR(X132/P132,0)</f>
        <v>0</v>
      </c>
      <c r="AC132" s="334"/>
    </row>
    <row r="133" customFormat="false" ht="30" hidden="false" customHeight="false" outlineLevel="0" collapsed="false">
      <c r="A133" s="329" t="s">
        <v>272</v>
      </c>
      <c r="B133" s="330" t="s">
        <v>258</v>
      </c>
      <c r="C133" s="158" t="s">
        <v>90</v>
      </c>
      <c r="D133" s="331" t="n">
        <f aca="false">SUM(E133:G133)</f>
        <v>0</v>
      </c>
      <c r="E133" s="332"/>
      <c r="F133" s="175"/>
      <c r="G133" s="333"/>
      <c r="H133" s="331" t="n">
        <f aca="false">SUM(I133:K133)</f>
        <v>0</v>
      </c>
      <c r="I133" s="332"/>
      <c r="J133" s="175"/>
      <c r="K133" s="333"/>
      <c r="L133" s="331" t="n">
        <f aca="false">SUM(M133:O133)</f>
        <v>0</v>
      </c>
      <c r="M133" s="332"/>
      <c r="N133" s="175"/>
      <c r="O133" s="333"/>
      <c r="P133" s="331" t="n">
        <f aca="false">SUM(Q133:S133)</f>
        <v>0</v>
      </c>
      <c r="Q133" s="332"/>
      <c r="R133" s="175"/>
      <c r="S133" s="333"/>
      <c r="T133" s="331" t="n">
        <f aca="false">SUM(U133:W133)</f>
        <v>0</v>
      </c>
      <c r="U133" s="332" t="n">
        <v>0</v>
      </c>
      <c r="V133" s="175" t="n">
        <v>0</v>
      </c>
      <c r="W133" s="333" t="n">
        <v>0</v>
      </c>
      <c r="X133" s="331" t="n">
        <f aca="false">SUM(Y133:AA133)</f>
        <v>0</v>
      </c>
      <c r="Y133" s="332" t="n">
        <v>0</v>
      </c>
      <c r="Z133" s="175" t="n">
        <v>0</v>
      </c>
      <c r="AA133" s="333" t="n">
        <v>0</v>
      </c>
      <c r="AB133" s="173" t="n">
        <f aca="false">IFERROR(X133/P133,0)</f>
        <v>0</v>
      </c>
      <c r="AC133" s="334"/>
    </row>
    <row r="134" customFormat="false" ht="15" hidden="false" customHeight="false" outlineLevel="0" collapsed="false">
      <c r="A134" s="324" t="s">
        <v>273</v>
      </c>
      <c r="B134" s="325" t="s">
        <v>274</v>
      </c>
      <c r="C134" s="290" t="s">
        <v>90</v>
      </c>
      <c r="D134" s="326" t="n">
        <f aca="false">D135+D137+D139+D141</f>
        <v>80038.493823125</v>
      </c>
      <c r="E134" s="291" t="n">
        <f aca="false">E135+E137+E139+E141</f>
        <v>80038.493823125</v>
      </c>
      <c r="F134" s="293" t="n">
        <f aca="false">F135+F137+F139+F141</f>
        <v>0</v>
      </c>
      <c r="G134" s="327" t="n">
        <f aca="false">G135+G137+G139+G141</f>
        <v>0</v>
      </c>
      <c r="H134" s="326" t="n">
        <f aca="false">H135+H137+H139+H141</f>
        <v>119566.3279658</v>
      </c>
      <c r="I134" s="291" t="n">
        <f aca="false">I135+I137+I139+I141</f>
        <v>119566.3279658</v>
      </c>
      <c r="J134" s="293" t="n">
        <f aca="false">J135+J137+J139+J141</f>
        <v>0</v>
      </c>
      <c r="K134" s="327" t="n">
        <f aca="false">K135+K137+K139+K141</f>
        <v>0</v>
      </c>
      <c r="L134" s="326" t="n">
        <f aca="false">L135+L137+L139+L141</f>
        <v>0</v>
      </c>
      <c r="M134" s="291" t="n">
        <f aca="false">M135+M137+M139+M141</f>
        <v>0</v>
      </c>
      <c r="N134" s="293" t="n">
        <f aca="false">N135+N137+N139+N141</f>
        <v>0</v>
      </c>
      <c r="O134" s="327" t="n">
        <f aca="false">O135+O137+O139+O141</f>
        <v>0</v>
      </c>
      <c r="P134" s="326" t="n">
        <f aca="false">P135+P137+P139+P141</f>
        <v>81293.4974062717</v>
      </c>
      <c r="Q134" s="291" t="n">
        <f aca="false">Q135+Q137+Q139+Q141</f>
        <v>81293.4974062717</v>
      </c>
      <c r="R134" s="293" t="n">
        <f aca="false">R135+R137+R139+R141</f>
        <v>0</v>
      </c>
      <c r="S134" s="327" t="n">
        <f aca="false">S135+S137+S139+S141</f>
        <v>0</v>
      </c>
      <c r="T134" s="326" t="n">
        <f aca="false">T135+T137+T139+T141</f>
        <v>131940.72</v>
      </c>
      <c r="U134" s="291" t="n">
        <f aca="false">U135+U137+U139+U141</f>
        <v>131940.72</v>
      </c>
      <c r="V134" s="293" t="n">
        <f aca="false">V135+V137+V139+V141</f>
        <v>0</v>
      </c>
      <c r="W134" s="327" t="n">
        <f aca="false">W135+W137+W139+W141</f>
        <v>0</v>
      </c>
      <c r="X134" s="326" t="n">
        <f aca="false">X135+X137+X139+X141</f>
        <v>0</v>
      </c>
      <c r="Y134" s="291" t="n">
        <f aca="false">Y135+Y137+Y139+Y141</f>
        <v>0</v>
      </c>
      <c r="Z134" s="293" t="n">
        <f aca="false">Z135+Z137+Z139+Z141</f>
        <v>0</v>
      </c>
      <c r="AA134" s="327" t="n">
        <f aca="false">AA135+AA137+AA139+AA141</f>
        <v>0</v>
      </c>
      <c r="AB134" s="220" t="n">
        <f aca="false">IFERROR(X134/P134,0)</f>
        <v>0</v>
      </c>
      <c r="AC134" s="328"/>
    </row>
    <row r="135" customFormat="false" ht="15" hidden="false" customHeight="true" outlineLevel="0" collapsed="false">
      <c r="A135" s="329" t="s">
        <v>275</v>
      </c>
      <c r="B135" s="330" t="s">
        <v>276</v>
      </c>
      <c r="C135" s="158" t="s">
        <v>90</v>
      </c>
      <c r="D135" s="331" t="n">
        <f aca="false">SUM(E135:G135)</f>
        <v>59215.5607126643</v>
      </c>
      <c r="E135" s="332" t="n">
        <v>59215.5607126643</v>
      </c>
      <c r="F135" s="175"/>
      <c r="G135" s="333"/>
      <c r="H135" s="331" t="n">
        <f aca="false">SUM(I135:K135)</f>
        <v>91705.1591780193</v>
      </c>
      <c r="I135" s="332" t="n">
        <v>91705.1591780193</v>
      </c>
      <c r="J135" s="175"/>
      <c r="K135" s="333"/>
      <c r="L135" s="331" t="n">
        <f aca="false">SUM(M135:O135)</f>
        <v>0</v>
      </c>
      <c r="M135" s="332"/>
      <c r="N135" s="175"/>
      <c r="O135" s="333"/>
      <c r="P135" s="331" t="n">
        <f aca="false">SUM(Q135:S135)</f>
        <v>60144.0607046389</v>
      </c>
      <c r="Q135" s="332" t="n">
        <v>60144.0607046389</v>
      </c>
      <c r="R135" s="175"/>
      <c r="S135" s="333"/>
      <c r="T135" s="331" t="n">
        <f aca="false">SUM(U135:W135)</f>
        <v>101196.09</v>
      </c>
      <c r="U135" s="332" t="n">
        <v>101196.09</v>
      </c>
      <c r="V135" s="175"/>
      <c r="W135" s="333"/>
      <c r="X135" s="331" t="n">
        <f aca="false">SUM(Y135:AA135)</f>
        <v>0</v>
      </c>
      <c r="Y135" s="332"/>
      <c r="Z135" s="175"/>
      <c r="AA135" s="333"/>
      <c r="AB135" s="173" t="n">
        <f aca="false">IFERROR(X135/P135,0)</f>
        <v>0</v>
      </c>
      <c r="AC135" s="328"/>
    </row>
    <row r="136" customFormat="false" ht="15" hidden="false" customHeight="false" outlineLevel="0" collapsed="false">
      <c r="A136" s="329" t="s">
        <v>277</v>
      </c>
      <c r="B136" s="330"/>
      <c r="C136" s="158" t="s">
        <v>38</v>
      </c>
      <c r="D136" s="163" t="n">
        <f aca="false">D135/D91</f>
        <v>0.301999999999999</v>
      </c>
      <c r="E136" s="159" t="n">
        <f aca="false">E135/E91</f>
        <v>0.301999999999999</v>
      </c>
      <c r="F136" s="161" t="e">
        <f aca="false">F135/F91</f>
        <v>#DIV/0!</v>
      </c>
      <c r="G136" s="344" t="e">
        <f aca="false">G135/G91</f>
        <v>#DIV/0!</v>
      </c>
      <c r="H136" s="163" t="n">
        <f aca="false">H135/H91</f>
        <v>0.262396941848352</v>
      </c>
      <c r="I136" s="159" t="n">
        <f aca="false">I135/I91</f>
        <v>0.262396941848352</v>
      </c>
      <c r="J136" s="161" t="e">
        <f aca="false">J135/J91</f>
        <v>#DIV/0!</v>
      </c>
      <c r="K136" s="344" t="e">
        <f aca="false">K135/K91</f>
        <v>#DIV/0!</v>
      </c>
      <c r="L136" s="163" t="e">
        <f aca="false">L135/L91</f>
        <v>#DIV/0!</v>
      </c>
      <c r="M136" s="159" t="e">
        <f aca="false">M135/M91</f>
        <v>#DIV/0!</v>
      </c>
      <c r="N136" s="161" t="e">
        <f aca="false">N135/N91</f>
        <v>#DIV/0!</v>
      </c>
      <c r="O136" s="344" t="e">
        <f aca="false">O135/O91</f>
        <v>#DIV/0!</v>
      </c>
      <c r="P136" s="163" t="n">
        <f aca="false">P135/P91</f>
        <v>0.301999999999999</v>
      </c>
      <c r="Q136" s="159" t="n">
        <f aca="false">Q135/Q91</f>
        <v>0.301999999999999</v>
      </c>
      <c r="R136" s="161" t="e">
        <f aca="false">R135/R91</f>
        <v>#DIV/0!</v>
      </c>
      <c r="S136" s="344" t="e">
        <f aca="false">S135/S91</f>
        <v>#DIV/0!</v>
      </c>
      <c r="T136" s="163" t="n">
        <f aca="false">T135/T91</f>
        <v>0.262396934271765</v>
      </c>
      <c r="U136" s="159" t="n">
        <f aca="false">U135/U91</f>
        <v>0.262396934271765</v>
      </c>
      <c r="V136" s="161" t="e">
        <f aca="false">V135/V91</f>
        <v>#DIV/0!</v>
      </c>
      <c r="W136" s="344" t="e">
        <f aca="false">W135/W91</f>
        <v>#DIV/0!</v>
      </c>
      <c r="X136" s="163" t="n">
        <f aca="false">X135/X91</f>
        <v>0</v>
      </c>
      <c r="Y136" s="159" t="n">
        <f aca="false">Y135/Y91</f>
        <v>0</v>
      </c>
      <c r="Z136" s="161" t="e">
        <f aca="false">Z135/Z91</f>
        <v>#DIV/0!</v>
      </c>
      <c r="AA136" s="344" t="e">
        <f aca="false">AA135/AA91</f>
        <v>#DIV/0!</v>
      </c>
      <c r="AB136" s="173" t="n">
        <f aca="false">IFERROR(X136/P136,0)</f>
        <v>0</v>
      </c>
      <c r="AC136" s="328"/>
    </row>
    <row r="137" customFormat="false" ht="15" hidden="false" customHeight="true" outlineLevel="0" collapsed="false">
      <c r="A137" s="329" t="s">
        <v>278</v>
      </c>
      <c r="B137" s="330" t="s">
        <v>279</v>
      </c>
      <c r="C137" s="158" t="s">
        <v>90</v>
      </c>
      <c r="D137" s="331" t="n">
        <f aca="false">SUM(E137:G137)</f>
        <v>20822.9331104607</v>
      </c>
      <c r="E137" s="332" t="n">
        <v>20822.9331104607</v>
      </c>
      <c r="F137" s="175"/>
      <c r="G137" s="345"/>
      <c r="H137" s="331" t="n">
        <f aca="false">SUM(I137:K137)</f>
        <v>27861.1687877804</v>
      </c>
      <c r="I137" s="332" t="n">
        <v>27861.1687877804</v>
      </c>
      <c r="J137" s="175"/>
      <c r="K137" s="345"/>
      <c r="L137" s="331" t="n">
        <f aca="false">SUM(M137:O137)</f>
        <v>0</v>
      </c>
      <c r="M137" s="332"/>
      <c r="N137" s="175"/>
      <c r="O137" s="345"/>
      <c r="P137" s="331" t="n">
        <f aca="false">SUM(Q137:S137)</f>
        <v>21149.4367016328</v>
      </c>
      <c r="Q137" s="332" t="n">
        <v>21149.4367016328</v>
      </c>
      <c r="R137" s="175"/>
      <c r="S137" s="345"/>
      <c r="T137" s="331" t="n">
        <f aca="false">SUM(U137:W137)</f>
        <v>30744.63</v>
      </c>
      <c r="U137" s="332" t="n">
        <v>30744.63</v>
      </c>
      <c r="V137" s="175"/>
      <c r="W137" s="345"/>
      <c r="X137" s="331" t="n">
        <f aca="false">SUM(Y137:AA137)</f>
        <v>0</v>
      </c>
      <c r="Y137" s="332"/>
      <c r="Z137" s="175"/>
      <c r="AA137" s="345"/>
      <c r="AB137" s="173" t="n">
        <f aca="false">IFERROR(X137/P137,0)</f>
        <v>0</v>
      </c>
      <c r="AC137" s="328"/>
    </row>
    <row r="138" customFormat="false" ht="15" hidden="false" customHeight="false" outlineLevel="0" collapsed="false">
      <c r="A138" s="329" t="s">
        <v>280</v>
      </c>
      <c r="B138" s="330"/>
      <c r="C138" s="158" t="s">
        <v>38</v>
      </c>
      <c r="D138" s="163" t="n">
        <f aca="false">D137/D94</f>
        <v>0.301999999999999</v>
      </c>
      <c r="E138" s="159" t="n">
        <f aca="false">E137/E94</f>
        <v>0.301999999999999</v>
      </c>
      <c r="F138" s="161" t="e">
        <f aca="false">F137/F94</f>
        <v>#DIV/0!</v>
      </c>
      <c r="G138" s="344" t="e">
        <f aca="false">G137/G94</f>
        <v>#DIV/0!</v>
      </c>
      <c r="H138" s="163" t="n">
        <f aca="false">H137/H94</f>
        <v>0.262396941848353</v>
      </c>
      <c r="I138" s="159" t="n">
        <f aca="false">I137/I94</f>
        <v>0.262396941848353</v>
      </c>
      <c r="J138" s="161" t="e">
        <f aca="false">J137/J94</f>
        <v>#DIV/0!</v>
      </c>
      <c r="K138" s="344" t="e">
        <f aca="false">K137/K94</f>
        <v>#DIV/0!</v>
      </c>
      <c r="L138" s="163" t="e">
        <f aca="false">L137/L94</f>
        <v>#DIV/0!</v>
      </c>
      <c r="M138" s="159" t="e">
        <f aca="false">M137/M94</f>
        <v>#DIV/0!</v>
      </c>
      <c r="N138" s="161" t="e">
        <f aca="false">N137/N94</f>
        <v>#DIV/0!</v>
      </c>
      <c r="O138" s="344" t="e">
        <f aca="false">O137/O94</f>
        <v>#DIV/0!</v>
      </c>
      <c r="P138" s="163" t="n">
        <f aca="false">P137/P94</f>
        <v>0.302000000000001</v>
      </c>
      <c r="Q138" s="159" t="n">
        <f aca="false">Q137/Q94</f>
        <v>0.302000000000001</v>
      </c>
      <c r="R138" s="161" t="e">
        <f aca="false">R137/R94</f>
        <v>#DIV/0!</v>
      </c>
      <c r="S138" s="344" t="e">
        <f aca="false">S137/S94</f>
        <v>#DIV/0!</v>
      </c>
      <c r="T138" s="163" t="n">
        <f aca="false">T137/T94</f>
        <v>0.262396919740833</v>
      </c>
      <c r="U138" s="159" t="n">
        <f aca="false">U137/U94</f>
        <v>0.262396919740833</v>
      </c>
      <c r="V138" s="161" t="e">
        <f aca="false">V137/V94</f>
        <v>#DIV/0!</v>
      </c>
      <c r="W138" s="344" t="e">
        <f aca="false">W137/W94</f>
        <v>#DIV/0!</v>
      </c>
      <c r="X138" s="163" t="n">
        <f aca="false">X137/X94</f>
        <v>0</v>
      </c>
      <c r="Y138" s="159" t="n">
        <f aca="false">Y137/Y94</f>
        <v>0</v>
      </c>
      <c r="Z138" s="161" t="e">
        <f aca="false">Z137/Z94</f>
        <v>#DIV/0!</v>
      </c>
      <c r="AA138" s="344" t="e">
        <f aca="false">AA137/AA94</f>
        <v>#DIV/0!</v>
      </c>
      <c r="AB138" s="173" t="n">
        <f aca="false">IFERROR(X138/P138,0)</f>
        <v>0</v>
      </c>
      <c r="AC138" s="328"/>
    </row>
    <row r="139" customFormat="false" ht="15" hidden="false" customHeight="true" outlineLevel="0" collapsed="false">
      <c r="A139" s="329" t="s">
        <v>281</v>
      </c>
      <c r="B139" s="330" t="s">
        <v>282</v>
      </c>
      <c r="C139" s="158" t="s">
        <v>90</v>
      </c>
      <c r="D139" s="331" t="n">
        <f aca="false">SUM(E139:G139)</f>
        <v>0</v>
      </c>
      <c r="E139" s="332"/>
      <c r="F139" s="175"/>
      <c r="G139" s="345"/>
      <c r="H139" s="331" t="n">
        <f aca="false">SUM(I139:K139)</f>
        <v>0</v>
      </c>
      <c r="I139" s="332"/>
      <c r="J139" s="175"/>
      <c r="K139" s="345"/>
      <c r="L139" s="331" t="n">
        <f aca="false">SUM(M139:O139)</f>
        <v>0</v>
      </c>
      <c r="M139" s="332"/>
      <c r="N139" s="175"/>
      <c r="O139" s="345"/>
      <c r="P139" s="331" t="n">
        <f aca="false">SUM(Q139:S139)</f>
        <v>0</v>
      </c>
      <c r="Q139" s="332"/>
      <c r="R139" s="175"/>
      <c r="S139" s="345"/>
      <c r="T139" s="331" t="n">
        <f aca="false">SUM(U139:W139)</f>
        <v>0</v>
      </c>
      <c r="U139" s="332"/>
      <c r="V139" s="175"/>
      <c r="W139" s="345"/>
      <c r="X139" s="331" t="n">
        <f aca="false">SUM(Y139:AA139)</f>
        <v>0</v>
      </c>
      <c r="Y139" s="332"/>
      <c r="Z139" s="175"/>
      <c r="AA139" s="345"/>
      <c r="AB139" s="173" t="n">
        <f aca="false">IFERROR(X139/P139,0)</f>
        <v>0</v>
      </c>
      <c r="AC139" s="328"/>
    </row>
    <row r="140" customFormat="false" ht="15" hidden="false" customHeight="false" outlineLevel="0" collapsed="false">
      <c r="A140" s="329" t="s">
        <v>283</v>
      </c>
      <c r="B140" s="330"/>
      <c r="C140" s="158" t="s">
        <v>38</v>
      </c>
      <c r="D140" s="163" t="e">
        <f aca="false">D139/D97</f>
        <v>#DIV/0!</v>
      </c>
      <c r="E140" s="159" t="e">
        <f aca="false">E139/E97</f>
        <v>#DIV/0!</v>
      </c>
      <c r="F140" s="161" t="e">
        <f aca="false">F139/F97</f>
        <v>#DIV/0!</v>
      </c>
      <c r="G140" s="344" t="e">
        <f aca="false">G139/G97</f>
        <v>#DIV/0!</v>
      </c>
      <c r="H140" s="163" t="e">
        <f aca="false">H139/H97</f>
        <v>#DIV/0!</v>
      </c>
      <c r="I140" s="159" t="e">
        <f aca="false">I139/I97</f>
        <v>#DIV/0!</v>
      </c>
      <c r="J140" s="161" t="e">
        <f aca="false">J139/J97</f>
        <v>#DIV/0!</v>
      </c>
      <c r="K140" s="344" t="e">
        <f aca="false">K139/K97</f>
        <v>#DIV/0!</v>
      </c>
      <c r="L140" s="163" t="e">
        <f aca="false">L139/L97</f>
        <v>#DIV/0!</v>
      </c>
      <c r="M140" s="159" t="e">
        <f aca="false">M139/M97</f>
        <v>#DIV/0!</v>
      </c>
      <c r="N140" s="161" t="e">
        <f aca="false">N139/N97</f>
        <v>#DIV/0!</v>
      </c>
      <c r="O140" s="344" t="e">
        <f aca="false">O139/O97</f>
        <v>#DIV/0!</v>
      </c>
      <c r="P140" s="163" t="e">
        <f aca="false">P139/P97</f>
        <v>#DIV/0!</v>
      </c>
      <c r="Q140" s="159" t="e">
        <f aca="false">Q139/Q97</f>
        <v>#DIV/0!</v>
      </c>
      <c r="R140" s="161" t="e">
        <f aca="false">R139/R97</f>
        <v>#DIV/0!</v>
      </c>
      <c r="S140" s="344" t="e">
        <f aca="false">S139/S97</f>
        <v>#DIV/0!</v>
      </c>
      <c r="T140" s="163" t="e">
        <f aca="false">T139/T97</f>
        <v>#DIV/0!</v>
      </c>
      <c r="U140" s="159" t="e">
        <f aca="false">U139/U97</f>
        <v>#DIV/0!</v>
      </c>
      <c r="V140" s="161" t="e">
        <f aca="false">V139/V97</f>
        <v>#DIV/0!</v>
      </c>
      <c r="W140" s="344" t="e">
        <f aca="false">W139/W97</f>
        <v>#DIV/0!</v>
      </c>
      <c r="X140" s="163" t="e">
        <f aca="false">X139/X97</f>
        <v>#DIV/0!</v>
      </c>
      <c r="Y140" s="159" t="e">
        <f aca="false">Y139/Y97</f>
        <v>#DIV/0!</v>
      </c>
      <c r="Z140" s="161" t="e">
        <f aca="false">Z139/Z97</f>
        <v>#DIV/0!</v>
      </c>
      <c r="AA140" s="344" t="e">
        <f aca="false">AA139/AA97</f>
        <v>#DIV/0!</v>
      </c>
      <c r="AB140" s="173" t="n">
        <f aca="false">IFERROR(X140/P140,0)</f>
        <v>0</v>
      </c>
      <c r="AC140" s="328"/>
    </row>
    <row r="141" customFormat="false" ht="15" hidden="false" customHeight="true" outlineLevel="0" collapsed="false">
      <c r="A141" s="329" t="s">
        <v>284</v>
      </c>
      <c r="B141" s="330" t="s">
        <v>285</v>
      </c>
      <c r="C141" s="158" t="s">
        <v>90</v>
      </c>
      <c r="D141" s="331" t="n">
        <f aca="false">SUM(E141:G141)</f>
        <v>0</v>
      </c>
      <c r="E141" s="332"/>
      <c r="F141" s="175"/>
      <c r="G141" s="345"/>
      <c r="H141" s="331" t="n">
        <f aca="false">SUM(I141:K141)</f>
        <v>0</v>
      </c>
      <c r="I141" s="332"/>
      <c r="J141" s="175"/>
      <c r="K141" s="345"/>
      <c r="L141" s="331" t="n">
        <f aca="false">SUM(M141:O141)</f>
        <v>0</v>
      </c>
      <c r="M141" s="332"/>
      <c r="N141" s="175"/>
      <c r="O141" s="345"/>
      <c r="P141" s="331" t="n">
        <f aca="false">SUM(Q141:S141)</f>
        <v>0</v>
      </c>
      <c r="Q141" s="332"/>
      <c r="R141" s="175"/>
      <c r="S141" s="345"/>
      <c r="T141" s="331" t="n">
        <f aca="false">SUM(U141:W141)</f>
        <v>0</v>
      </c>
      <c r="U141" s="332"/>
      <c r="V141" s="175"/>
      <c r="W141" s="345"/>
      <c r="X141" s="331" t="n">
        <f aca="false">SUM(Y141:AA141)</f>
        <v>0</v>
      </c>
      <c r="Y141" s="332"/>
      <c r="Z141" s="175"/>
      <c r="AA141" s="345"/>
      <c r="AB141" s="173" t="n">
        <f aca="false">IFERROR(X141/P141,0)</f>
        <v>0</v>
      </c>
      <c r="AC141" s="328"/>
    </row>
    <row r="142" customFormat="false" ht="15" hidden="false" customHeight="false" outlineLevel="0" collapsed="false">
      <c r="A142" s="329" t="s">
        <v>286</v>
      </c>
      <c r="B142" s="330"/>
      <c r="C142" s="158" t="s">
        <v>38</v>
      </c>
      <c r="D142" s="163" t="e">
        <f aca="false">D141/D100</f>
        <v>#DIV/0!</v>
      </c>
      <c r="E142" s="159" t="e">
        <f aca="false">E141/E100</f>
        <v>#DIV/0!</v>
      </c>
      <c r="F142" s="161" t="e">
        <f aca="false">F141/F100</f>
        <v>#DIV/0!</v>
      </c>
      <c r="G142" s="344" t="e">
        <f aca="false">G141/G100</f>
        <v>#DIV/0!</v>
      </c>
      <c r="H142" s="163" t="e">
        <f aca="false">H141/H100</f>
        <v>#DIV/0!</v>
      </c>
      <c r="I142" s="159" t="e">
        <f aca="false">I141/I100</f>
        <v>#DIV/0!</v>
      </c>
      <c r="J142" s="161" t="e">
        <f aca="false">J141/J100</f>
        <v>#DIV/0!</v>
      </c>
      <c r="K142" s="344" t="e">
        <f aca="false">K141/K100</f>
        <v>#DIV/0!</v>
      </c>
      <c r="L142" s="163" t="e">
        <f aca="false">L141/L100</f>
        <v>#DIV/0!</v>
      </c>
      <c r="M142" s="159" t="e">
        <f aca="false">M141/M100</f>
        <v>#DIV/0!</v>
      </c>
      <c r="N142" s="161" t="e">
        <f aca="false">N141/N100</f>
        <v>#DIV/0!</v>
      </c>
      <c r="O142" s="344" t="e">
        <f aca="false">O141/O100</f>
        <v>#DIV/0!</v>
      </c>
      <c r="P142" s="163" t="e">
        <f aca="false">P141/P100</f>
        <v>#DIV/0!</v>
      </c>
      <c r="Q142" s="159" t="e">
        <f aca="false">Q141/Q100</f>
        <v>#DIV/0!</v>
      </c>
      <c r="R142" s="161" t="e">
        <f aca="false">R141/R100</f>
        <v>#DIV/0!</v>
      </c>
      <c r="S142" s="344" t="e">
        <f aca="false">S141/S100</f>
        <v>#DIV/0!</v>
      </c>
      <c r="T142" s="163" t="e">
        <f aca="false">T141/T100</f>
        <v>#DIV/0!</v>
      </c>
      <c r="U142" s="159" t="e">
        <f aca="false">U141/U100</f>
        <v>#DIV/0!</v>
      </c>
      <c r="V142" s="161" t="e">
        <f aca="false">V141/V100</f>
        <v>#DIV/0!</v>
      </c>
      <c r="W142" s="344" t="e">
        <f aca="false">W141/W100</f>
        <v>#DIV/0!</v>
      </c>
      <c r="X142" s="163" t="e">
        <f aca="false">X141/X100</f>
        <v>#DIV/0!</v>
      </c>
      <c r="Y142" s="159" t="e">
        <f aca="false">Y141/Y100</f>
        <v>#DIV/0!</v>
      </c>
      <c r="Z142" s="161" t="e">
        <f aca="false">Z141/Z100</f>
        <v>#DIV/0!</v>
      </c>
      <c r="AA142" s="344" t="e">
        <f aca="false">AA141/AA100</f>
        <v>#DIV/0!</v>
      </c>
      <c r="AB142" s="173" t="n">
        <f aca="false">IFERROR(X142/P142,0)</f>
        <v>0</v>
      </c>
      <c r="AC142" s="328"/>
    </row>
    <row r="143" customFormat="false" ht="15" hidden="false" customHeight="false" outlineLevel="0" collapsed="false">
      <c r="A143" s="324" t="s">
        <v>287</v>
      </c>
      <c r="B143" s="325" t="s">
        <v>288</v>
      </c>
      <c r="C143" s="290" t="s">
        <v>90</v>
      </c>
      <c r="D143" s="326" t="n">
        <f aca="false">SUM(E143:G143)</f>
        <v>0</v>
      </c>
      <c r="E143" s="291"/>
      <c r="F143" s="293"/>
      <c r="G143" s="346"/>
      <c r="H143" s="326" t="n">
        <f aca="false">SUM(I143:K143)</f>
        <v>0</v>
      </c>
      <c r="I143" s="291"/>
      <c r="J143" s="293"/>
      <c r="K143" s="346"/>
      <c r="L143" s="326" t="n">
        <f aca="false">SUM(M143:O143)</f>
        <v>0</v>
      </c>
      <c r="M143" s="291"/>
      <c r="N143" s="293"/>
      <c r="O143" s="346"/>
      <c r="P143" s="326" t="n">
        <f aca="false">SUM(Q143:S143)</f>
        <v>0</v>
      </c>
      <c r="Q143" s="291"/>
      <c r="R143" s="293"/>
      <c r="S143" s="346"/>
      <c r="T143" s="326" t="n">
        <f aca="false">SUM(U143:W143)</f>
        <v>0</v>
      </c>
      <c r="U143" s="291"/>
      <c r="V143" s="293"/>
      <c r="W143" s="346"/>
      <c r="X143" s="326" t="n">
        <f aca="false">SUM(Y143:AA143)</f>
        <v>0</v>
      </c>
      <c r="Y143" s="291"/>
      <c r="Z143" s="293"/>
      <c r="AA143" s="346"/>
      <c r="AB143" s="220" t="n">
        <f aca="false">IFERROR(X143/P143,0)</f>
        <v>0</v>
      </c>
      <c r="AC143" s="334"/>
    </row>
    <row r="144" customFormat="false" ht="15" hidden="false" customHeight="false" outlineLevel="0" collapsed="false">
      <c r="A144" s="324" t="s">
        <v>289</v>
      </c>
      <c r="B144" s="338" t="s">
        <v>290</v>
      </c>
      <c r="C144" s="347" t="s">
        <v>90</v>
      </c>
      <c r="D144" s="326" t="n">
        <f aca="false">SUM(E144:G144)</f>
        <v>0</v>
      </c>
      <c r="E144" s="348"/>
      <c r="F144" s="349"/>
      <c r="G144" s="350"/>
      <c r="H144" s="326" t="n">
        <f aca="false">SUM(I144:K144)</f>
        <v>0</v>
      </c>
      <c r="I144" s="348"/>
      <c r="J144" s="349"/>
      <c r="K144" s="350"/>
      <c r="L144" s="326" t="n">
        <f aca="false">SUM(M144:O144)</f>
        <v>0</v>
      </c>
      <c r="M144" s="348"/>
      <c r="N144" s="349"/>
      <c r="O144" s="350"/>
      <c r="P144" s="326" t="n">
        <f aca="false">SUM(Q144:S144)</f>
        <v>0</v>
      </c>
      <c r="Q144" s="348"/>
      <c r="R144" s="349"/>
      <c r="S144" s="350"/>
      <c r="T144" s="326" t="n">
        <f aca="false">SUM(U144:W144)</f>
        <v>0</v>
      </c>
      <c r="U144" s="348"/>
      <c r="V144" s="349"/>
      <c r="W144" s="350"/>
      <c r="X144" s="326" t="n">
        <f aca="false">SUM(Y144:AA144)</f>
        <v>0</v>
      </c>
      <c r="Y144" s="348"/>
      <c r="Z144" s="349"/>
      <c r="AA144" s="350"/>
      <c r="AB144" s="220" t="n">
        <f aca="false">IFERROR(X144/P144,0)</f>
        <v>0</v>
      </c>
      <c r="AC144" s="305"/>
      <c r="AD144" s="94"/>
      <c r="AE144" s="94"/>
      <c r="AF144" s="94"/>
      <c r="AG144" s="94"/>
    </row>
    <row r="145" customFormat="false" ht="60" hidden="false" customHeight="false" outlineLevel="0" collapsed="false">
      <c r="A145" s="324" t="s">
        <v>291</v>
      </c>
      <c r="B145" s="338" t="s">
        <v>240</v>
      </c>
      <c r="C145" s="347" t="s">
        <v>90</v>
      </c>
      <c r="D145" s="326" t="n">
        <f aca="false">SUM(E145:G145)</f>
        <v>0</v>
      </c>
      <c r="E145" s="348"/>
      <c r="F145" s="349"/>
      <c r="G145" s="350"/>
      <c r="H145" s="326" t="n">
        <f aca="false">SUM(I145:K145)</f>
        <v>0</v>
      </c>
      <c r="I145" s="348"/>
      <c r="J145" s="349"/>
      <c r="K145" s="350"/>
      <c r="L145" s="326" t="n">
        <f aca="false">SUM(M145:O145)</f>
        <v>0</v>
      </c>
      <c r="M145" s="348"/>
      <c r="N145" s="349"/>
      <c r="O145" s="350"/>
      <c r="P145" s="326" t="n">
        <f aca="false">SUM(Q145:S145)</f>
        <v>0</v>
      </c>
      <c r="Q145" s="348"/>
      <c r="R145" s="349"/>
      <c r="S145" s="350"/>
      <c r="T145" s="326" t="n">
        <f aca="false">SUM(U145:W145)</f>
        <v>0</v>
      </c>
      <c r="U145" s="348"/>
      <c r="V145" s="349"/>
      <c r="W145" s="350"/>
      <c r="X145" s="326" t="n">
        <f aca="false">SUM(Y145:AA145)</f>
        <v>0</v>
      </c>
      <c r="Y145" s="348"/>
      <c r="Z145" s="349"/>
      <c r="AA145" s="350"/>
      <c r="AB145" s="220" t="n">
        <f aca="false">IFERROR(X145/P145,0)</f>
        <v>0</v>
      </c>
      <c r="AC145" s="334"/>
      <c r="AD145" s="94"/>
      <c r="AE145" s="94"/>
      <c r="AF145" s="94"/>
      <c r="AG145" s="94"/>
    </row>
    <row r="146" customFormat="false" ht="30" hidden="false" customHeight="false" outlineLevel="0" collapsed="false">
      <c r="A146" s="324" t="s">
        <v>292</v>
      </c>
      <c r="B146" s="325" t="s">
        <v>293</v>
      </c>
      <c r="C146" s="290" t="s">
        <v>90</v>
      </c>
      <c r="D146" s="326" t="n">
        <f aca="false">SUM(E146:G146)</f>
        <v>0</v>
      </c>
      <c r="E146" s="291" t="n">
        <f aca="false">SUM(E147:E148)</f>
        <v>0</v>
      </c>
      <c r="F146" s="293" t="n">
        <f aca="false">SUM(F147:F148)</f>
        <v>0</v>
      </c>
      <c r="G146" s="327" t="n">
        <f aca="false">SUM(G147:G148)</f>
        <v>0</v>
      </c>
      <c r="H146" s="326" t="n">
        <f aca="false">SUM(I146:K146)</f>
        <v>0</v>
      </c>
      <c r="I146" s="291" t="n">
        <f aca="false">SUM(I147:I148)</f>
        <v>0</v>
      </c>
      <c r="J146" s="293" t="n">
        <f aca="false">SUM(J147:J148)</f>
        <v>0</v>
      </c>
      <c r="K146" s="327" t="n">
        <f aca="false">SUM(K147:K148)</f>
        <v>0</v>
      </c>
      <c r="L146" s="326" t="n">
        <f aca="false">SUM(M146:O146)</f>
        <v>0</v>
      </c>
      <c r="M146" s="291" t="n">
        <f aca="false">SUM(M147:M148)</f>
        <v>0</v>
      </c>
      <c r="N146" s="293" t="n">
        <f aca="false">SUM(N147:N148)</f>
        <v>0</v>
      </c>
      <c r="O146" s="327" t="n">
        <f aca="false">SUM(O147:O148)</f>
        <v>0</v>
      </c>
      <c r="P146" s="326" t="n">
        <f aca="false">SUM(Q146:S146)</f>
        <v>0</v>
      </c>
      <c r="Q146" s="291" t="n">
        <f aca="false">SUM(Q147:Q148)</f>
        <v>0</v>
      </c>
      <c r="R146" s="293" t="n">
        <f aca="false">SUM(R147:R148)</f>
        <v>0</v>
      </c>
      <c r="S146" s="327" t="n">
        <f aca="false">SUM(S147:S148)</f>
        <v>0</v>
      </c>
      <c r="T146" s="326" t="n">
        <f aca="false">SUM(U146:W146)</f>
        <v>0</v>
      </c>
      <c r="U146" s="291" t="n">
        <f aca="false">SUM(U147:U148)</f>
        <v>0</v>
      </c>
      <c r="V146" s="293" t="n">
        <f aca="false">SUM(V147:V148)</f>
        <v>0</v>
      </c>
      <c r="W146" s="327" t="n">
        <f aca="false">SUM(W147:W148)</f>
        <v>0</v>
      </c>
      <c r="X146" s="326" t="n">
        <f aca="false">SUM(Y146:AA146)</f>
        <v>0</v>
      </c>
      <c r="Y146" s="291" t="n">
        <f aca="false">SUM(Y147:Y148)</f>
        <v>0</v>
      </c>
      <c r="Z146" s="293" t="n">
        <f aca="false">SUM(Z147:Z148)</f>
        <v>0</v>
      </c>
      <c r="AA146" s="327" t="n">
        <f aca="false">SUM(AA147:AA148)</f>
        <v>0</v>
      </c>
      <c r="AB146" s="220" t="n">
        <f aca="false">IFERROR(X146/P146,0)</f>
        <v>0</v>
      </c>
      <c r="AC146" s="334"/>
      <c r="AD146" s="94"/>
      <c r="AE146" s="94"/>
      <c r="AF146" s="94"/>
      <c r="AG146" s="94"/>
    </row>
    <row r="147" customFormat="false" ht="15" hidden="false" customHeight="false" outlineLevel="0" collapsed="false">
      <c r="A147" s="329" t="s">
        <v>294</v>
      </c>
      <c r="B147" s="351" t="s">
        <v>295</v>
      </c>
      <c r="C147" s="158" t="s">
        <v>90</v>
      </c>
      <c r="D147" s="331" t="n">
        <f aca="false">SUM(E147:G147)</f>
        <v>0</v>
      </c>
      <c r="E147" s="299"/>
      <c r="F147" s="175"/>
      <c r="G147" s="300"/>
      <c r="H147" s="331" t="n">
        <f aca="false">SUM(I147:K147)</f>
        <v>0</v>
      </c>
      <c r="I147" s="299"/>
      <c r="J147" s="175"/>
      <c r="K147" s="300"/>
      <c r="L147" s="331" t="n">
        <f aca="false">SUM(M147:O147)</f>
        <v>0</v>
      </c>
      <c r="M147" s="299"/>
      <c r="N147" s="175"/>
      <c r="O147" s="300"/>
      <c r="P147" s="331" t="n">
        <f aca="false">SUM(Q147:S147)</f>
        <v>0</v>
      </c>
      <c r="Q147" s="299"/>
      <c r="R147" s="175"/>
      <c r="S147" s="300"/>
      <c r="T147" s="331" t="n">
        <f aca="false">SUM(U147:W147)</f>
        <v>0</v>
      </c>
      <c r="U147" s="299"/>
      <c r="V147" s="175"/>
      <c r="W147" s="300"/>
      <c r="X147" s="331" t="n">
        <f aca="false">SUM(Y147:AA147)</f>
        <v>0</v>
      </c>
      <c r="Y147" s="299"/>
      <c r="Z147" s="175"/>
      <c r="AA147" s="300"/>
      <c r="AB147" s="352" t="n">
        <f aca="false">IFERROR(X147/P147,0)</f>
        <v>0</v>
      </c>
      <c r="AC147" s="334"/>
      <c r="AD147" s="94"/>
      <c r="AE147" s="94"/>
      <c r="AF147" s="94"/>
      <c r="AG147" s="94"/>
    </row>
    <row r="148" customFormat="false" ht="30" hidden="false" customHeight="false" outlineLevel="0" collapsed="false">
      <c r="A148" s="329" t="s">
        <v>296</v>
      </c>
      <c r="B148" s="351" t="s">
        <v>297</v>
      </c>
      <c r="C148" s="158" t="s">
        <v>90</v>
      </c>
      <c r="D148" s="331" t="n">
        <f aca="false">SUM(E148:G148)</f>
        <v>0</v>
      </c>
      <c r="E148" s="299"/>
      <c r="F148" s="175"/>
      <c r="G148" s="300"/>
      <c r="H148" s="331" t="n">
        <f aca="false">SUM(I148:K148)</f>
        <v>0</v>
      </c>
      <c r="I148" s="299"/>
      <c r="J148" s="175"/>
      <c r="K148" s="300"/>
      <c r="L148" s="331" t="n">
        <f aca="false">SUM(M148:O148)</f>
        <v>0</v>
      </c>
      <c r="M148" s="299"/>
      <c r="N148" s="175"/>
      <c r="O148" s="300"/>
      <c r="P148" s="331" t="n">
        <f aca="false">SUM(Q148:S148)</f>
        <v>0</v>
      </c>
      <c r="Q148" s="299"/>
      <c r="R148" s="175"/>
      <c r="S148" s="300"/>
      <c r="T148" s="331" t="n">
        <f aca="false">SUM(U148:W148)</f>
        <v>0</v>
      </c>
      <c r="U148" s="299"/>
      <c r="V148" s="175"/>
      <c r="W148" s="300"/>
      <c r="X148" s="331" t="n">
        <f aca="false">SUM(Y148:AA148)</f>
        <v>0</v>
      </c>
      <c r="Y148" s="299"/>
      <c r="Z148" s="175"/>
      <c r="AA148" s="300"/>
      <c r="AB148" s="173" t="n">
        <f aca="false">IFERROR(X148/P148,0)</f>
        <v>0</v>
      </c>
      <c r="AC148" s="334"/>
    </row>
    <row r="149" customFormat="false" ht="45" hidden="false" customHeight="false" outlineLevel="0" collapsed="false">
      <c r="A149" s="324" t="s">
        <v>298</v>
      </c>
      <c r="B149" s="325" t="s">
        <v>299</v>
      </c>
      <c r="C149" s="290" t="s">
        <v>90</v>
      </c>
      <c r="D149" s="326" t="n">
        <f aca="false">SUM(E149:G149)</f>
        <v>0</v>
      </c>
      <c r="E149" s="353"/>
      <c r="F149" s="349"/>
      <c r="G149" s="302"/>
      <c r="H149" s="326" t="n">
        <f aca="false">SUM(I149:K149)</f>
        <v>0</v>
      </c>
      <c r="I149" s="353"/>
      <c r="J149" s="349"/>
      <c r="K149" s="302"/>
      <c r="L149" s="326" t="n">
        <f aca="false">SUM(M149:O149)</f>
        <v>0</v>
      </c>
      <c r="M149" s="353"/>
      <c r="N149" s="349"/>
      <c r="O149" s="302"/>
      <c r="P149" s="326" t="n">
        <f aca="false">SUM(Q149:S149)</f>
        <v>0</v>
      </c>
      <c r="Q149" s="353"/>
      <c r="R149" s="349"/>
      <c r="S149" s="302"/>
      <c r="T149" s="326" t="n">
        <f aca="false">SUM(U149:W149)</f>
        <v>0</v>
      </c>
      <c r="U149" s="353"/>
      <c r="V149" s="349"/>
      <c r="W149" s="302"/>
      <c r="X149" s="326" t="n">
        <f aca="false">SUM(Y149:AA149)</f>
        <v>0</v>
      </c>
      <c r="Y149" s="353"/>
      <c r="Z149" s="349"/>
      <c r="AA149" s="302"/>
      <c r="AB149" s="220" t="n">
        <f aca="false">IFERROR(X149/P149,0)</f>
        <v>0</v>
      </c>
      <c r="AC149" s="354"/>
      <c r="AD149" s="94"/>
      <c r="AE149" s="94"/>
      <c r="AF149" s="94"/>
      <c r="AG149" s="94"/>
    </row>
    <row r="150" customFormat="false" ht="15" hidden="false" customHeight="false" outlineLevel="0" collapsed="false">
      <c r="A150" s="324" t="s">
        <v>300</v>
      </c>
      <c r="B150" s="325" t="s">
        <v>301</v>
      </c>
      <c r="C150" s="290" t="s">
        <v>90</v>
      </c>
      <c r="D150" s="326" t="n">
        <f aca="false">SUM(E150:G150)</f>
        <v>0</v>
      </c>
      <c r="E150" s="353"/>
      <c r="F150" s="349"/>
      <c r="G150" s="302"/>
      <c r="H150" s="326" t="n">
        <f aca="false">SUM(I150:K150)</f>
        <v>0</v>
      </c>
      <c r="I150" s="353"/>
      <c r="J150" s="349"/>
      <c r="K150" s="302"/>
      <c r="L150" s="326" t="n">
        <f aca="false">SUM(M150:O150)</f>
        <v>0</v>
      </c>
      <c r="M150" s="353"/>
      <c r="N150" s="349"/>
      <c r="O150" s="302"/>
      <c r="P150" s="326" t="n">
        <f aca="false">SUM(Q150:S150)</f>
        <v>0</v>
      </c>
      <c r="Q150" s="353"/>
      <c r="R150" s="349"/>
      <c r="S150" s="302"/>
      <c r="T150" s="326" t="n">
        <f aca="false">SUM(U150:W150)</f>
        <v>0</v>
      </c>
      <c r="U150" s="353"/>
      <c r="V150" s="349"/>
      <c r="W150" s="302"/>
      <c r="X150" s="326" t="n">
        <f aca="false">SUM(Y150:AA150)</f>
        <v>0</v>
      </c>
      <c r="Y150" s="353"/>
      <c r="Z150" s="349"/>
      <c r="AA150" s="302"/>
      <c r="AB150" s="355" t="n">
        <f aca="false">IFERROR(X150/P150,0)</f>
        <v>0</v>
      </c>
      <c r="AC150" s="334"/>
      <c r="AD150" s="94"/>
      <c r="AE150" s="94"/>
      <c r="AF150" s="94"/>
      <c r="AG150" s="94"/>
    </row>
    <row r="151" customFormat="false" ht="21.75" hidden="false" customHeight="true" outlineLevel="0" collapsed="false">
      <c r="A151" s="356" t="s">
        <v>302</v>
      </c>
      <c r="B151" s="357" t="s">
        <v>303</v>
      </c>
      <c r="C151" s="358" t="s">
        <v>90</v>
      </c>
      <c r="D151" s="359" t="n">
        <f aca="false">D119+D120+D128+D131+D134+D143+D144+D146+D149+D150+D145</f>
        <v>476656.952535591</v>
      </c>
      <c r="E151" s="360" t="n">
        <f aca="false">E119+E120+E128+E131+E134+E143+E144+E146+E149+E150+E145</f>
        <v>476656.952535591</v>
      </c>
      <c r="F151" s="361" t="n">
        <f aca="false">F119+F120+F128+F131+F134+F143+F144+F146+F149+F150+F145</f>
        <v>0</v>
      </c>
      <c r="G151" s="362" t="n">
        <f aca="false">G119+G120+G128+G131+G134+G143+G144+G146+G149+G150+G145</f>
        <v>0</v>
      </c>
      <c r="H151" s="359" t="n">
        <f aca="false">H119+H120+H128+H131+H134+H143+H144+H146+H149+H150+H145</f>
        <v>616750.981233592</v>
      </c>
      <c r="I151" s="360" t="n">
        <f aca="false">I119+I120+I128+I131+I134+I143+I144+I146+I149+I150+I145</f>
        <v>616750.981233592</v>
      </c>
      <c r="J151" s="361" t="n">
        <f aca="false">J119+J120+J128+J131+J134+J143+J144+J146+J149+J150+J145</f>
        <v>0</v>
      </c>
      <c r="K151" s="362" t="n">
        <f aca="false">K119+K120+K128+K131+K134+K143+K144+K146+K149+K150+K145</f>
        <v>0</v>
      </c>
      <c r="L151" s="359" t="n">
        <f aca="false">L119+L120+L128+L131+L134+L143+L144+L146+L149+L150+L145</f>
        <v>0</v>
      </c>
      <c r="M151" s="360" t="n">
        <f aca="false">M119+M120+M128+M131+M134+M143+M144+M146+M149+M150+M145</f>
        <v>0</v>
      </c>
      <c r="N151" s="361" t="n">
        <f aca="false">N119+N120+N128+N131+N134+N143+N144+N146+N149+N150+N145</f>
        <v>0</v>
      </c>
      <c r="O151" s="362" t="n">
        <f aca="false">O119+O120+O128+O131+O134+O143+O144+O146+O149+O150+O145</f>
        <v>0</v>
      </c>
      <c r="P151" s="359" t="n">
        <f aca="false">P119+P120+P128+P131+P134+P143+P144+P146+P149+P150+P145</f>
        <v>425901.316236757</v>
      </c>
      <c r="Q151" s="360" t="n">
        <f aca="false">Q119+Q120+Q128+Q131+Q134+Q143+Q144+Q146+Q149+Q150+Q145</f>
        <v>425901.316236757</v>
      </c>
      <c r="R151" s="361" t="n">
        <f aca="false">R119+R120+R128+R131+R134+R143+R144+R146+R149+R150+R145</f>
        <v>0</v>
      </c>
      <c r="S151" s="362" t="n">
        <f aca="false">S119+S120+S128+S131+S134+S143+S144+S146+S149+S150+S145</f>
        <v>0</v>
      </c>
      <c r="T151" s="359" t="n">
        <f aca="false">T119+T120+T128+T131+T134+T143+T144+T146+T149+T150+T145</f>
        <v>678452.652038004</v>
      </c>
      <c r="U151" s="360" t="n">
        <f aca="false">U119+U120+U128+U131+U134+U143+U144+U146+U149+U150+U145</f>
        <v>678452.652038004</v>
      </c>
      <c r="V151" s="361" t="n">
        <f aca="false">V119+V120+V128+V131+V134+V143+V144+V146+V149+V150+V145</f>
        <v>0</v>
      </c>
      <c r="W151" s="362" t="n">
        <f aca="false">W119+W120+W128+W131+W134+W143+W144+W146+W149+W150+W145</f>
        <v>0</v>
      </c>
      <c r="X151" s="359" t="n">
        <f aca="false">X119+X120+X128+X131+X134+X143+X144+X146+X149+X150+X145</f>
        <v>0</v>
      </c>
      <c r="Y151" s="360" t="n">
        <f aca="false">Y119+Y120+Y128+Y131+Y134+Y143+Y144+Y146+Y149+Y150+Y145</f>
        <v>0</v>
      </c>
      <c r="Z151" s="361" t="n">
        <f aca="false">Z119+Z120+Z128+Z131+Z134+Z143+Z144+Z146+Z149+Z150+Z145</f>
        <v>0</v>
      </c>
      <c r="AA151" s="362" t="n">
        <f aca="false">AA119+AA120+AA128+AA131+AA134+AA143+AA144+AA146+AA149+AA150+AA145</f>
        <v>0</v>
      </c>
      <c r="AB151" s="363" t="n">
        <f aca="false">IFERROR(X151/P151,0)</f>
        <v>0</v>
      </c>
      <c r="AC151" s="364"/>
      <c r="AE151" s="268"/>
    </row>
    <row r="152" customFormat="false" ht="30.75" hidden="false" customHeight="false" outlineLevel="0" collapsed="false">
      <c r="A152" s="365" t="s">
        <v>304</v>
      </c>
      <c r="B152" s="366" t="s">
        <v>305</v>
      </c>
      <c r="C152" s="367" t="s">
        <v>90</v>
      </c>
      <c r="D152" s="368" t="n">
        <f aca="false">SUM(E152:G152)</f>
        <v>0</v>
      </c>
      <c r="E152" s="369"/>
      <c r="F152" s="370"/>
      <c r="G152" s="371"/>
      <c r="H152" s="368" t="n">
        <f aca="false">SUM(I152:K152)</f>
        <v>0</v>
      </c>
      <c r="I152" s="369"/>
      <c r="J152" s="370"/>
      <c r="K152" s="371"/>
      <c r="L152" s="368" t="n">
        <f aca="false">SUM(M152:O152)</f>
        <v>0</v>
      </c>
      <c r="M152" s="369"/>
      <c r="N152" s="370"/>
      <c r="O152" s="371"/>
      <c r="P152" s="368" t="n">
        <f aca="false">SUM(Q152:S152)</f>
        <v>0</v>
      </c>
      <c r="Q152" s="369"/>
      <c r="R152" s="372"/>
      <c r="S152" s="371"/>
      <c r="T152" s="368" t="n">
        <f aca="false">SUM(U152:W152)</f>
        <v>0</v>
      </c>
      <c r="U152" s="369"/>
      <c r="V152" s="372"/>
      <c r="W152" s="371"/>
      <c r="X152" s="368" t="n">
        <f aca="false">SUM(Y152:AA152)</f>
        <v>0</v>
      </c>
      <c r="Y152" s="369"/>
      <c r="Z152" s="370"/>
      <c r="AA152" s="371"/>
      <c r="AB152" s="373" t="n">
        <f aca="false">IFERROR(X152/P152,0)</f>
        <v>0</v>
      </c>
      <c r="AC152" s="374"/>
      <c r="AE152" s="268"/>
    </row>
    <row r="153" customFormat="false" ht="15.75" hidden="false" customHeight="false" outlineLevel="0" collapsed="false">
      <c r="A153" s="17" t="s">
        <v>306</v>
      </c>
      <c r="B153" s="137" t="s">
        <v>307</v>
      </c>
      <c r="C153" s="137"/>
      <c r="D153" s="137"/>
      <c r="E153" s="137"/>
      <c r="F153" s="137"/>
      <c r="G153" s="137"/>
      <c r="H153" s="137"/>
      <c r="I153" s="137"/>
      <c r="J153" s="137"/>
      <c r="K153" s="137"/>
      <c r="L153" s="137"/>
      <c r="M153" s="137"/>
      <c r="N153" s="137"/>
      <c r="O153" s="137"/>
      <c r="P153" s="137"/>
      <c r="Q153" s="137"/>
      <c r="R153" s="137"/>
      <c r="S153" s="137"/>
      <c r="T153" s="137"/>
      <c r="U153" s="137"/>
      <c r="V153" s="137"/>
      <c r="W153" s="137"/>
      <c r="X153" s="137"/>
      <c r="Y153" s="137"/>
      <c r="Z153" s="137"/>
      <c r="AA153" s="137"/>
      <c r="AB153" s="375"/>
      <c r="AC153" s="143"/>
    </row>
    <row r="154" customFormat="false" ht="15.75" hidden="false" customHeight="false" outlineLevel="0" collapsed="false">
      <c r="A154" s="376"/>
      <c r="B154" s="377" t="s">
        <v>308</v>
      </c>
      <c r="C154" s="378"/>
      <c r="D154" s="378"/>
      <c r="E154" s="378"/>
      <c r="F154" s="378"/>
      <c r="G154" s="378"/>
      <c r="H154" s="378"/>
      <c r="I154" s="378"/>
      <c r="J154" s="378"/>
      <c r="K154" s="378"/>
      <c r="L154" s="378"/>
      <c r="M154" s="378"/>
      <c r="N154" s="378"/>
      <c r="O154" s="378"/>
      <c r="P154" s="378"/>
      <c r="Q154" s="378"/>
      <c r="R154" s="378"/>
      <c r="S154" s="378"/>
      <c r="T154" s="378"/>
      <c r="U154" s="378"/>
      <c r="V154" s="378"/>
      <c r="W154" s="378"/>
      <c r="X154" s="378"/>
      <c r="Y154" s="378"/>
      <c r="Z154" s="378"/>
      <c r="AA154" s="378"/>
      <c r="AB154" s="379"/>
      <c r="AC154" s="380"/>
    </row>
    <row r="155" customFormat="false" ht="57.25" hidden="false" customHeight="false" outlineLevel="0" collapsed="false">
      <c r="A155" s="381" t="s">
        <v>309</v>
      </c>
      <c r="B155" s="382" t="s">
        <v>310</v>
      </c>
      <c r="C155" s="145" t="s">
        <v>90</v>
      </c>
      <c r="D155" s="383" t="n">
        <f aca="false">SUM(E155)</f>
        <v>236766.194655487</v>
      </c>
      <c r="E155" s="384" t="n">
        <v>236766.194655487</v>
      </c>
      <c r="F155" s="385"/>
      <c r="G155" s="386"/>
      <c r="H155" s="383" t="n">
        <f aca="false">SUM(I155)</f>
        <v>0</v>
      </c>
      <c r="I155" s="387"/>
      <c r="J155" s="385"/>
      <c r="K155" s="386"/>
      <c r="L155" s="383" t="n">
        <f aca="false">SUM(M155)</f>
        <v>0</v>
      </c>
      <c r="M155" s="387"/>
      <c r="N155" s="385"/>
      <c r="O155" s="386"/>
      <c r="P155" s="383" t="n">
        <f aca="false">SUM(Q155)</f>
        <v>-99963.5492200088</v>
      </c>
      <c r="Q155" s="387" t="n">
        <v>-99963.5492200088</v>
      </c>
      <c r="R155" s="385"/>
      <c r="S155" s="386"/>
      <c r="T155" s="383" t="n">
        <f aca="false">SUM(U155)</f>
        <v>-91142.0209558964</v>
      </c>
      <c r="U155" s="387" t="n">
        <f aca="false">[1]корректировки!G17*1.058*1.043</f>
        <v>-91142.0209558964</v>
      </c>
      <c r="V155" s="385"/>
      <c r="W155" s="386"/>
      <c r="X155" s="383" t="n">
        <f aca="false">SUM(Y155)</f>
        <v>0</v>
      </c>
      <c r="Y155" s="387"/>
      <c r="Z155" s="385"/>
      <c r="AA155" s="386"/>
      <c r="AB155" s="388" t="n">
        <f aca="false">IFERROR(X155/P155,0)</f>
        <v>-0</v>
      </c>
      <c r="AC155" s="389"/>
    </row>
    <row r="156" customFormat="false" ht="43.35" hidden="false" customHeight="false" outlineLevel="0" collapsed="false">
      <c r="A156" s="390" t="s">
        <v>311</v>
      </c>
      <c r="B156" s="391" t="s">
        <v>312</v>
      </c>
      <c r="C156" s="392" t="s">
        <v>90</v>
      </c>
      <c r="D156" s="331" t="n">
        <f aca="false">SUM(E156)</f>
        <v>149728.596872356</v>
      </c>
      <c r="E156" s="393" t="n">
        <v>149728.596872356</v>
      </c>
      <c r="F156" s="394"/>
      <c r="G156" s="395"/>
      <c r="H156" s="331" t="n">
        <f aca="false">SUM(I156)</f>
        <v>0</v>
      </c>
      <c r="I156" s="396"/>
      <c r="J156" s="394"/>
      <c r="K156" s="395"/>
      <c r="L156" s="331" t="n">
        <f aca="false">SUM(M156)</f>
        <v>0</v>
      </c>
      <c r="M156" s="396"/>
      <c r="N156" s="394"/>
      <c r="O156" s="395"/>
      <c r="P156" s="331" t="n">
        <f aca="false">SUM(Q156)</f>
        <v>90877.6155856499</v>
      </c>
      <c r="Q156" s="396" t="n">
        <v>90877.6155856499</v>
      </c>
      <c r="R156" s="394"/>
      <c r="S156" s="395"/>
      <c r="T156" s="331" t="n">
        <f aca="false">SUM(U156)</f>
        <v>28404.1084413892</v>
      </c>
      <c r="U156" s="396" t="n">
        <f aca="false">[1]корректировки!G24*1.058*1.043</f>
        <v>28404.1084413892</v>
      </c>
      <c r="V156" s="394"/>
      <c r="W156" s="395"/>
      <c r="X156" s="331" t="n">
        <f aca="false">SUM(Y156)</f>
        <v>0</v>
      </c>
      <c r="Y156" s="396"/>
      <c r="Z156" s="394"/>
      <c r="AA156" s="395"/>
      <c r="AB156" s="397" t="n">
        <f aca="false">IFERROR(X156/P156,0)</f>
        <v>0</v>
      </c>
      <c r="AC156" s="398"/>
    </row>
    <row r="157" customFormat="false" ht="15" hidden="false" customHeight="false" outlineLevel="0" collapsed="false">
      <c r="A157" s="390" t="s">
        <v>313</v>
      </c>
      <c r="B157" s="391" t="s">
        <v>314</v>
      </c>
      <c r="C157" s="392" t="s">
        <v>90</v>
      </c>
      <c r="D157" s="331" t="n">
        <f aca="false">SUM(E157)</f>
        <v>98653.8355722318</v>
      </c>
      <c r="E157" s="393" t="n">
        <v>98653.8355722318</v>
      </c>
      <c r="F157" s="394"/>
      <c r="G157" s="395"/>
      <c r="H157" s="331" t="n">
        <f aca="false">SUM(I157)</f>
        <v>0</v>
      </c>
      <c r="I157" s="396"/>
      <c r="J157" s="394"/>
      <c r="K157" s="395"/>
      <c r="L157" s="331" t="n">
        <f aca="false">SUM(M157)</f>
        <v>0</v>
      </c>
      <c r="M157" s="396"/>
      <c r="N157" s="394"/>
      <c r="O157" s="395"/>
      <c r="P157" s="331" t="n">
        <f aca="false">SUM(Q157)</f>
        <v>0</v>
      </c>
      <c r="Q157" s="396" t="n">
        <v>0</v>
      </c>
      <c r="R157" s="394"/>
      <c r="S157" s="395"/>
      <c r="T157" s="331" t="n">
        <f aca="false">SUM(U157)</f>
        <v>456556.675371521</v>
      </c>
      <c r="U157" s="396" t="n">
        <f aca="false">[1]корректировки!G33*1.058*1.043</f>
        <v>456556.675371521</v>
      </c>
      <c r="V157" s="394"/>
      <c r="W157" s="395"/>
      <c r="X157" s="331" t="n">
        <f aca="false">SUM(Y157)</f>
        <v>0</v>
      </c>
      <c r="Y157" s="396"/>
      <c r="Z157" s="394"/>
      <c r="AA157" s="395"/>
      <c r="AB157" s="397" t="n">
        <f aca="false">IFERROR(X157/P157,0)</f>
        <v>0</v>
      </c>
      <c r="AC157" s="398"/>
    </row>
    <row r="158" customFormat="false" ht="15" hidden="false" customHeight="false" outlineLevel="0" collapsed="false">
      <c r="A158" s="390" t="s">
        <v>315</v>
      </c>
      <c r="B158" s="391" t="s">
        <v>316</v>
      </c>
      <c r="C158" s="392" t="s">
        <v>90</v>
      </c>
      <c r="D158" s="331" t="n">
        <f aca="false">SUM(E158)</f>
        <v>63408.2839417608</v>
      </c>
      <c r="E158" s="393" t="n">
        <v>63408.2839417608</v>
      </c>
      <c r="F158" s="394"/>
      <c r="G158" s="395"/>
      <c r="H158" s="331" t="n">
        <f aca="false">SUM(I158)</f>
        <v>0</v>
      </c>
      <c r="I158" s="396"/>
      <c r="J158" s="394"/>
      <c r="K158" s="395"/>
      <c r="L158" s="331" t="n">
        <f aca="false">SUM(M158)</f>
        <v>0</v>
      </c>
      <c r="M158" s="396"/>
      <c r="N158" s="394"/>
      <c r="O158" s="395"/>
      <c r="P158" s="331" t="n">
        <f aca="false">SUM(Q158)</f>
        <v>-157981.677236381</v>
      </c>
      <c r="Q158" s="396" t="n">
        <v>-157981.677236381</v>
      </c>
      <c r="R158" s="394"/>
      <c r="S158" s="395"/>
      <c r="T158" s="331" t="n">
        <f aca="false">SUM(U158)</f>
        <v>154592.920104072</v>
      </c>
      <c r="U158" s="396" t="n">
        <f aca="false">[1]корректировки!G34*1.058*1.043</f>
        <v>154592.920104072</v>
      </c>
      <c r="V158" s="394"/>
      <c r="W158" s="395"/>
      <c r="X158" s="331" t="n">
        <f aca="false">SUM(Y158)</f>
        <v>0</v>
      </c>
      <c r="Y158" s="396"/>
      <c r="Z158" s="394"/>
      <c r="AA158" s="395"/>
      <c r="AB158" s="397" t="n">
        <f aca="false">IFERROR(X158/P158,0)</f>
        <v>-0</v>
      </c>
      <c r="AC158" s="398"/>
    </row>
    <row r="159" customFormat="false" ht="71.15" hidden="false" customHeight="false" outlineLevel="0" collapsed="false">
      <c r="A159" s="399" t="s">
        <v>317</v>
      </c>
      <c r="B159" s="400" t="s">
        <v>318</v>
      </c>
      <c r="C159" s="178" t="s">
        <v>90</v>
      </c>
      <c r="D159" s="331" t="n">
        <f aca="false">SUM(E159)</f>
        <v>0</v>
      </c>
      <c r="E159" s="401"/>
      <c r="F159" s="185"/>
      <c r="G159" s="402"/>
      <c r="H159" s="331" t="n">
        <f aca="false">SUM(I159)</f>
        <v>0</v>
      </c>
      <c r="I159" s="403"/>
      <c r="J159" s="185"/>
      <c r="K159" s="402"/>
      <c r="L159" s="331" t="n">
        <f aca="false">SUM(M159)</f>
        <v>0</v>
      </c>
      <c r="M159" s="403"/>
      <c r="N159" s="185"/>
      <c r="O159" s="402"/>
      <c r="P159" s="331" t="n">
        <f aca="false">SUM(Q159)</f>
        <v>0</v>
      </c>
      <c r="Q159" s="403" t="n">
        <v>0</v>
      </c>
      <c r="R159" s="185"/>
      <c r="S159" s="402"/>
      <c r="T159" s="331" t="n">
        <f aca="false">SUM(U159)</f>
        <v>0</v>
      </c>
      <c r="U159" s="403"/>
      <c r="V159" s="185"/>
      <c r="W159" s="402"/>
      <c r="X159" s="331" t="n">
        <f aca="false">SUM(Y159)</f>
        <v>0</v>
      </c>
      <c r="Y159" s="403"/>
      <c r="Z159" s="185"/>
      <c r="AA159" s="402"/>
      <c r="AB159" s="397" t="n">
        <f aca="false">IFERROR(X159/P159,0)</f>
        <v>0</v>
      </c>
      <c r="AC159" s="398"/>
    </row>
    <row r="160" customFormat="false" ht="57.25" hidden="false" customHeight="false" outlineLevel="0" collapsed="false">
      <c r="A160" s="329" t="s">
        <v>319</v>
      </c>
      <c r="B160" s="351" t="s">
        <v>320</v>
      </c>
      <c r="C160" s="158" t="s">
        <v>90</v>
      </c>
      <c r="D160" s="331" t="n">
        <f aca="false">SUM(E160)</f>
        <v>0</v>
      </c>
      <c r="E160" s="404"/>
      <c r="F160" s="405"/>
      <c r="G160" s="406"/>
      <c r="H160" s="331" t="n">
        <f aca="false">SUM(I160)</f>
        <v>0</v>
      </c>
      <c r="I160" s="407"/>
      <c r="J160" s="171"/>
      <c r="K160" s="408"/>
      <c r="L160" s="331" t="n">
        <f aca="false">SUM(M160)</f>
        <v>0</v>
      </c>
      <c r="M160" s="407"/>
      <c r="N160" s="171"/>
      <c r="O160" s="408"/>
      <c r="P160" s="331" t="n">
        <f aca="false">SUM(Q160)</f>
        <v>24913.4</v>
      </c>
      <c r="Q160" s="407" t="n">
        <v>24913.4</v>
      </c>
      <c r="R160" s="171"/>
      <c r="S160" s="408"/>
      <c r="T160" s="331" t="n">
        <f aca="false">SUM(U160)</f>
        <v>0</v>
      </c>
      <c r="U160" s="407"/>
      <c r="V160" s="171"/>
      <c r="W160" s="408"/>
      <c r="X160" s="331" t="n">
        <f aca="false">SUM(Y160)</f>
        <v>0</v>
      </c>
      <c r="Y160" s="407"/>
      <c r="Z160" s="171"/>
      <c r="AA160" s="408"/>
      <c r="AB160" s="397" t="n">
        <f aca="false">IFERROR(X160/P160,0)</f>
        <v>0</v>
      </c>
      <c r="AC160" s="341"/>
    </row>
    <row r="161" customFormat="false" ht="15.75" hidden="false" customHeight="false" outlineLevel="0" collapsed="false">
      <c r="A161" s="376"/>
      <c r="B161" s="377" t="s">
        <v>321</v>
      </c>
      <c r="C161" s="378"/>
      <c r="D161" s="378"/>
      <c r="E161" s="378"/>
      <c r="F161" s="378"/>
      <c r="G161" s="378"/>
      <c r="H161" s="378"/>
      <c r="I161" s="378"/>
      <c r="J161" s="378"/>
      <c r="K161" s="378"/>
      <c r="L161" s="378"/>
      <c r="M161" s="378"/>
      <c r="N161" s="378"/>
      <c r="O161" s="378"/>
      <c r="P161" s="378"/>
      <c r="Q161" s="378"/>
      <c r="R161" s="378"/>
      <c r="S161" s="378"/>
      <c r="T161" s="378"/>
      <c r="U161" s="378"/>
      <c r="V161" s="378"/>
      <c r="W161" s="378"/>
      <c r="X161" s="378"/>
      <c r="Y161" s="378"/>
      <c r="Z161" s="378"/>
      <c r="AA161" s="378"/>
      <c r="AB161" s="379"/>
      <c r="AC161" s="380"/>
    </row>
    <row r="162" customFormat="false" ht="30" hidden="false" customHeight="false" outlineLevel="0" collapsed="false">
      <c r="A162" s="329" t="s">
        <v>322</v>
      </c>
      <c r="B162" s="409" t="s">
        <v>323</v>
      </c>
      <c r="C162" s="158" t="s">
        <v>324</v>
      </c>
      <c r="D162" s="331" t="n">
        <f aca="false">SUM(F162)</f>
        <v>0</v>
      </c>
      <c r="E162" s="298"/>
      <c r="F162" s="175"/>
      <c r="G162" s="408"/>
      <c r="H162" s="331" t="n">
        <f aca="false">SUM(J162)</f>
        <v>0</v>
      </c>
      <c r="I162" s="298"/>
      <c r="J162" s="175"/>
      <c r="K162" s="408"/>
      <c r="L162" s="331" t="n">
        <f aca="false">SUM(N162)</f>
        <v>0</v>
      </c>
      <c r="M162" s="298"/>
      <c r="N162" s="175"/>
      <c r="O162" s="408"/>
      <c r="P162" s="331" t="n">
        <f aca="false">SUM(R162)</f>
        <v>0</v>
      </c>
      <c r="Q162" s="298"/>
      <c r="R162" s="175"/>
      <c r="S162" s="408"/>
      <c r="T162" s="331" t="n">
        <f aca="false">SUM(V162)</f>
        <v>0</v>
      </c>
      <c r="U162" s="298"/>
      <c r="V162" s="175"/>
      <c r="W162" s="408"/>
      <c r="X162" s="331" t="n">
        <f aca="false">SUM(Z162)</f>
        <v>0</v>
      </c>
      <c r="Y162" s="298"/>
      <c r="Z162" s="175"/>
      <c r="AA162" s="408"/>
      <c r="AB162" s="388" t="n">
        <f aca="false">IFERROR(X162/P162,0)</f>
        <v>0</v>
      </c>
      <c r="AC162" s="305"/>
    </row>
    <row r="163" customFormat="false" ht="15" hidden="false" customHeight="false" outlineLevel="0" collapsed="false">
      <c r="A163" s="329" t="s">
        <v>325</v>
      </c>
      <c r="B163" s="409" t="s">
        <v>326</v>
      </c>
      <c r="C163" s="158" t="s">
        <v>324</v>
      </c>
      <c r="D163" s="331" t="n">
        <f aca="false">SUM(F163)</f>
        <v>0</v>
      </c>
      <c r="E163" s="410"/>
      <c r="F163" s="175"/>
      <c r="G163" s="408"/>
      <c r="H163" s="331" t="n">
        <f aca="false">SUM(J163)</f>
        <v>0</v>
      </c>
      <c r="I163" s="410"/>
      <c r="J163" s="175"/>
      <c r="K163" s="408"/>
      <c r="L163" s="331" t="n">
        <f aca="false">SUM(N163)</f>
        <v>0</v>
      </c>
      <c r="M163" s="410"/>
      <c r="N163" s="175"/>
      <c r="O163" s="408"/>
      <c r="P163" s="331" t="n">
        <f aca="false">SUM(R163)</f>
        <v>0</v>
      </c>
      <c r="Q163" s="410"/>
      <c r="R163" s="175"/>
      <c r="S163" s="408"/>
      <c r="T163" s="331" t="n">
        <f aca="false">SUM(V163)</f>
        <v>0</v>
      </c>
      <c r="U163" s="410"/>
      <c r="V163" s="175"/>
      <c r="W163" s="408"/>
      <c r="X163" s="331" t="n">
        <f aca="false">SUM(Z163)</f>
        <v>0</v>
      </c>
      <c r="Y163" s="410"/>
      <c r="Z163" s="175"/>
      <c r="AA163" s="408"/>
      <c r="AB163" s="397" t="n">
        <f aca="false">IFERROR(X163/P163,0)</f>
        <v>0</v>
      </c>
      <c r="AC163" s="305"/>
    </row>
    <row r="164" customFormat="false" ht="15" hidden="false" customHeight="false" outlineLevel="0" collapsed="false">
      <c r="A164" s="329" t="s">
        <v>327</v>
      </c>
      <c r="B164" s="409" t="s">
        <v>328</v>
      </c>
      <c r="C164" s="158" t="s">
        <v>324</v>
      </c>
      <c r="D164" s="331" t="n">
        <f aca="false">SUM(F164)</f>
        <v>0</v>
      </c>
      <c r="E164" s="410"/>
      <c r="F164" s="175"/>
      <c r="G164" s="408"/>
      <c r="H164" s="331" t="n">
        <f aca="false">SUM(J164)</f>
        <v>0</v>
      </c>
      <c r="I164" s="410"/>
      <c r="J164" s="175"/>
      <c r="K164" s="408"/>
      <c r="L164" s="331" t="n">
        <f aca="false">SUM(N164)</f>
        <v>0</v>
      </c>
      <c r="M164" s="410"/>
      <c r="N164" s="175"/>
      <c r="O164" s="408"/>
      <c r="P164" s="331" t="n">
        <f aca="false">SUM(R164)</f>
        <v>0</v>
      </c>
      <c r="Q164" s="410"/>
      <c r="R164" s="175"/>
      <c r="S164" s="408"/>
      <c r="T164" s="331" t="n">
        <f aca="false">SUM(V164)</f>
        <v>0</v>
      </c>
      <c r="U164" s="410"/>
      <c r="V164" s="175"/>
      <c r="W164" s="408"/>
      <c r="X164" s="331" t="n">
        <f aca="false">SUM(Z164)</f>
        <v>0</v>
      </c>
      <c r="Y164" s="410"/>
      <c r="Z164" s="175"/>
      <c r="AA164" s="408"/>
      <c r="AB164" s="397" t="n">
        <f aca="false">IFERROR(X164/P164,0)</f>
        <v>0</v>
      </c>
      <c r="AC164" s="305"/>
    </row>
    <row r="165" customFormat="false" ht="45" hidden="false" customHeight="false" outlineLevel="0" collapsed="false">
      <c r="A165" s="329" t="s">
        <v>329</v>
      </c>
      <c r="B165" s="409" t="s">
        <v>330</v>
      </c>
      <c r="C165" s="158" t="s">
        <v>324</v>
      </c>
      <c r="D165" s="331" t="n">
        <f aca="false">SUM(F165)</f>
        <v>0</v>
      </c>
      <c r="E165" s="410"/>
      <c r="F165" s="175"/>
      <c r="G165" s="408"/>
      <c r="H165" s="331" t="n">
        <f aca="false">SUM(J165)</f>
        <v>0</v>
      </c>
      <c r="I165" s="410"/>
      <c r="J165" s="175"/>
      <c r="K165" s="408"/>
      <c r="L165" s="331" t="n">
        <f aca="false">SUM(N165)</f>
        <v>0</v>
      </c>
      <c r="M165" s="410"/>
      <c r="N165" s="175"/>
      <c r="O165" s="408"/>
      <c r="P165" s="331" t="n">
        <f aca="false">SUM(R165)</f>
        <v>0</v>
      </c>
      <c r="Q165" s="410"/>
      <c r="R165" s="175"/>
      <c r="S165" s="408"/>
      <c r="T165" s="331" t="n">
        <f aca="false">SUM(V165)</f>
        <v>0</v>
      </c>
      <c r="U165" s="410"/>
      <c r="V165" s="175"/>
      <c r="W165" s="408"/>
      <c r="X165" s="331" t="n">
        <f aca="false">SUM(Z165)</f>
        <v>0</v>
      </c>
      <c r="Y165" s="410"/>
      <c r="Z165" s="175"/>
      <c r="AA165" s="408"/>
      <c r="AB165" s="397" t="n">
        <f aca="false">IFERROR(X165/P165,0)</f>
        <v>0</v>
      </c>
      <c r="AC165" s="305"/>
    </row>
    <row r="166" customFormat="false" ht="30" hidden="false" customHeight="false" outlineLevel="0" collapsed="false">
      <c r="A166" s="329" t="s">
        <v>331</v>
      </c>
      <c r="B166" s="409" t="s">
        <v>332</v>
      </c>
      <c r="C166" s="158" t="s">
        <v>324</v>
      </c>
      <c r="D166" s="331" t="n">
        <f aca="false">SUM(F166)</f>
        <v>0</v>
      </c>
      <c r="E166" s="410"/>
      <c r="F166" s="175"/>
      <c r="G166" s="408"/>
      <c r="H166" s="331" t="n">
        <f aca="false">SUM(J166)</f>
        <v>0</v>
      </c>
      <c r="I166" s="410"/>
      <c r="J166" s="175"/>
      <c r="K166" s="408"/>
      <c r="L166" s="331" t="n">
        <f aca="false">SUM(N166)</f>
        <v>0</v>
      </c>
      <c r="M166" s="410"/>
      <c r="N166" s="175"/>
      <c r="O166" s="408"/>
      <c r="P166" s="331" t="n">
        <f aca="false">SUM(R166)</f>
        <v>0</v>
      </c>
      <c r="Q166" s="410"/>
      <c r="R166" s="175"/>
      <c r="S166" s="408"/>
      <c r="T166" s="331" t="n">
        <f aca="false">SUM(V166)</f>
        <v>0</v>
      </c>
      <c r="U166" s="410"/>
      <c r="V166" s="175"/>
      <c r="W166" s="408"/>
      <c r="X166" s="331" t="n">
        <f aca="false">SUM(Z166)</f>
        <v>0</v>
      </c>
      <c r="Y166" s="410"/>
      <c r="Z166" s="175"/>
      <c r="AA166" s="408"/>
      <c r="AB166" s="397" t="n">
        <f aca="false">IFERROR(X166/P166,0)</f>
        <v>0</v>
      </c>
      <c r="AC166" s="305"/>
    </row>
    <row r="167" customFormat="false" ht="30" hidden="false" customHeight="false" outlineLevel="0" collapsed="false">
      <c r="A167" s="329" t="s">
        <v>333</v>
      </c>
      <c r="B167" s="409" t="s">
        <v>334</v>
      </c>
      <c r="C167" s="158" t="s">
        <v>324</v>
      </c>
      <c r="D167" s="331" t="n">
        <f aca="false">SUM(F167)</f>
        <v>0</v>
      </c>
      <c r="E167" s="410"/>
      <c r="F167" s="175"/>
      <c r="G167" s="408"/>
      <c r="H167" s="331" t="n">
        <f aca="false">SUM(J167)</f>
        <v>0</v>
      </c>
      <c r="I167" s="410"/>
      <c r="J167" s="175"/>
      <c r="K167" s="408"/>
      <c r="L167" s="331" t="n">
        <f aca="false">SUM(N167)</f>
        <v>0</v>
      </c>
      <c r="M167" s="410"/>
      <c r="N167" s="175"/>
      <c r="O167" s="408"/>
      <c r="P167" s="331" t="n">
        <f aca="false">SUM(R167)</f>
        <v>0</v>
      </c>
      <c r="Q167" s="410"/>
      <c r="R167" s="175"/>
      <c r="S167" s="408"/>
      <c r="T167" s="331" t="n">
        <f aca="false">SUM(V167)</f>
        <v>0</v>
      </c>
      <c r="U167" s="410"/>
      <c r="V167" s="175"/>
      <c r="W167" s="408"/>
      <c r="X167" s="331" t="n">
        <f aca="false">SUM(Z167)</f>
        <v>0</v>
      </c>
      <c r="Y167" s="410"/>
      <c r="Z167" s="175"/>
      <c r="AA167" s="408"/>
      <c r="AB167" s="397" t="n">
        <f aca="false">IFERROR(X167/P167,0)</f>
        <v>0</v>
      </c>
      <c r="AC167" s="305"/>
    </row>
    <row r="168" customFormat="false" ht="30" hidden="false" customHeight="false" outlineLevel="0" collapsed="false">
      <c r="A168" s="329" t="s">
        <v>335</v>
      </c>
      <c r="B168" s="409" t="s">
        <v>336</v>
      </c>
      <c r="C168" s="158" t="s">
        <v>90</v>
      </c>
      <c r="D168" s="331" t="n">
        <f aca="false">SUM(F168)</f>
        <v>0</v>
      </c>
      <c r="E168" s="410"/>
      <c r="F168" s="175"/>
      <c r="G168" s="408"/>
      <c r="H168" s="331" t="n">
        <f aca="false">SUM(J168)</f>
        <v>0</v>
      </c>
      <c r="I168" s="410"/>
      <c r="J168" s="175"/>
      <c r="K168" s="408"/>
      <c r="L168" s="331" t="n">
        <f aca="false">SUM(N168)</f>
        <v>0</v>
      </c>
      <c r="M168" s="410"/>
      <c r="N168" s="175"/>
      <c r="O168" s="408"/>
      <c r="P168" s="331" t="n">
        <f aca="false">SUM(R168)</f>
        <v>0</v>
      </c>
      <c r="Q168" s="410"/>
      <c r="R168" s="175"/>
      <c r="S168" s="408"/>
      <c r="T168" s="331" t="n">
        <f aca="false">SUM(V168)</f>
        <v>0</v>
      </c>
      <c r="U168" s="410"/>
      <c r="V168" s="175"/>
      <c r="W168" s="408"/>
      <c r="X168" s="331" t="n">
        <f aca="false">SUM(Z168)</f>
        <v>0</v>
      </c>
      <c r="Y168" s="410"/>
      <c r="Z168" s="175"/>
      <c r="AA168" s="408"/>
      <c r="AB168" s="397" t="n">
        <f aca="false">IFERROR(X168/P168,0)</f>
        <v>0</v>
      </c>
      <c r="AC168" s="305"/>
    </row>
    <row r="169" customFormat="false" ht="15.75" hidden="false" customHeight="false" outlineLevel="0" collapsed="false">
      <c r="A169" s="329" t="s">
        <v>337</v>
      </c>
      <c r="B169" s="411" t="s">
        <v>338</v>
      </c>
      <c r="C169" s="158" t="s">
        <v>38</v>
      </c>
      <c r="D169" s="331" t="n">
        <f aca="false">SUM(F169)</f>
        <v>0</v>
      </c>
      <c r="E169" s="412"/>
      <c r="F169" s="175"/>
      <c r="G169" s="408"/>
      <c r="H169" s="331" t="n">
        <f aca="false">SUM(J169)</f>
        <v>0</v>
      </c>
      <c r="I169" s="412"/>
      <c r="J169" s="175"/>
      <c r="K169" s="408"/>
      <c r="L169" s="331" t="n">
        <f aca="false">SUM(N169)</f>
        <v>0</v>
      </c>
      <c r="M169" s="412"/>
      <c r="N169" s="175"/>
      <c r="O169" s="408"/>
      <c r="P169" s="331" t="n">
        <f aca="false">SUM(R169)</f>
        <v>0</v>
      </c>
      <c r="Q169" s="412"/>
      <c r="R169" s="175"/>
      <c r="S169" s="408"/>
      <c r="T169" s="331" t="n">
        <f aca="false">SUM(V169)</f>
        <v>0</v>
      </c>
      <c r="U169" s="412"/>
      <c r="V169" s="175"/>
      <c r="W169" s="408"/>
      <c r="X169" s="331" t="n">
        <f aca="false">SUM(Z169)</f>
        <v>0</v>
      </c>
      <c r="Y169" s="412"/>
      <c r="Z169" s="175"/>
      <c r="AA169" s="408"/>
      <c r="AB169" s="397" t="n">
        <f aca="false">IFERROR(X169/P169,0)</f>
        <v>0</v>
      </c>
      <c r="AC169" s="305"/>
    </row>
    <row r="170" customFormat="false" ht="15.75" hidden="false" customHeight="false" outlineLevel="0" collapsed="false">
      <c r="A170" s="413"/>
      <c r="B170" s="414" t="s">
        <v>339</v>
      </c>
      <c r="C170" s="137"/>
      <c r="D170" s="137"/>
      <c r="E170" s="137"/>
      <c r="F170" s="137"/>
      <c r="G170" s="137"/>
      <c r="H170" s="137"/>
      <c r="I170" s="137"/>
      <c r="J170" s="137"/>
      <c r="K170" s="137"/>
      <c r="L170" s="137"/>
      <c r="M170" s="137"/>
      <c r="N170" s="137"/>
      <c r="O170" s="137"/>
      <c r="P170" s="137"/>
      <c r="Q170" s="137"/>
      <c r="R170" s="137"/>
      <c r="S170" s="137"/>
      <c r="T170" s="137"/>
      <c r="U170" s="137"/>
      <c r="V170" s="137"/>
      <c r="W170" s="137"/>
      <c r="X170" s="137"/>
      <c r="Y170" s="137"/>
      <c r="Z170" s="137"/>
      <c r="AA170" s="137"/>
      <c r="AB170" s="375"/>
      <c r="AC170" s="143"/>
    </row>
    <row r="171" customFormat="false" ht="45" hidden="false" customHeight="false" outlineLevel="0" collapsed="false">
      <c r="A171" s="329" t="s">
        <v>333</v>
      </c>
      <c r="B171" s="409" t="s">
        <v>340</v>
      </c>
      <c r="C171" s="158" t="s">
        <v>90</v>
      </c>
      <c r="D171" s="331" t="n">
        <f aca="false">SUM(G171)</f>
        <v>0</v>
      </c>
      <c r="E171" s="412"/>
      <c r="F171" s="171"/>
      <c r="G171" s="300"/>
      <c r="H171" s="331" t="n">
        <f aca="false">SUM(K171)</f>
        <v>0</v>
      </c>
      <c r="I171" s="412"/>
      <c r="J171" s="171"/>
      <c r="K171" s="300"/>
      <c r="L171" s="331" t="n">
        <f aca="false">SUM(O171)</f>
        <v>0</v>
      </c>
      <c r="M171" s="412"/>
      <c r="N171" s="171"/>
      <c r="O171" s="300"/>
      <c r="P171" s="331" t="n">
        <f aca="false">SUM(S171)</f>
        <v>0</v>
      </c>
      <c r="Q171" s="412"/>
      <c r="R171" s="171"/>
      <c r="S171" s="300"/>
      <c r="T171" s="331" t="n">
        <f aca="false">SUM(W171)</f>
        <v>0</v>
      </c>
      <c r="U171" s="412"/>
      <c r="V171" s="171"/>
      <c r="W171" s="300"/>
      <c r="X171" s="331" t="n">
        <f aca="false">SUM(AA171)</f>
        <v>0</v>
      </c>
      <c r="Y171" s="412"/>
      <c r="Z171" s="171"/>
      <c r="AA171" s="300"/>
      <c r="AB171" s="388" t="n">
        <f aca="false">IFERROR(X171/P171,0)</f>
        <v>0</v>
      </c>
      <c r="AC171" s="305"/>
    </row>
    <row r="172" customFormat="false" ht="30" hidden="false" customHeight="false" outlineLevel="0" collapsed="false">
      <c r="A172" s="329" t="s">
        <v>335</v>
      </c>
      <c r="B172" s="409" t="s">
        <v>341</v>
      </c>
      <c r="C172" s="158" t="s">
        <v>90</v>
      </c>
      <c r="D172" s="331" t="n">
        <f aca="false">SUM(G172)</f>
        <v>0</v>
      </c>
      <c r="E172" s="412"/>
      <c r="F172" s="171"/>
      <c r="G172" s="300"/>
      <c r="H172" s="331" t="n">
        <f aca="false">SUM(K172)</f>
        <v>0</v>
      </c>
      <c r="I172" s="412"/>
      <c r="J172" s="171"/>
      <c r="K172" s="300"/>
      <c r="L172" s="331" t="n">
        <f aca="false">SUM(O172)</f>
        <v>0</v>
      </c>
      <c r="M172" s="412"/>
      <c r="N172" s="171"/>
      <c r="O172" s="300"/>
      <c r="P172" s="331" t="n">
        <f aca="false">SUM(S172)</f>
        <v>0</v>
      </c>
      <c r="Q172" s="412"/>
      <c r="R172" s="171"/>
      <c r="S172" s="300"/>
      <c r="T172" s="331" t="n">
        <f aca="false">SUM(W172)</f>
        <v>0</v>
      </c>
      <c r="U172" s="412"/>
      <c r="V172" s="171"/>
      <c r="W172" s="300"/>
      <c r="X172" s="331" t="n">
        <f aca="false">SUM(AA172)</f>
        <v>0</v>
      </c>
      <c r="Y172" s="412"/>
      <c r="Z172" s="171"/>
      <c r="AA172" s="300"/>
      <c r="AB172" s="397" t="n">
        <f aca="false">IFERROR(X172/P172,0)</f>
        <v>0</v>
      </c>
      <c r="AC172" s="305"/>
    </row>
    <row r="173" customFormat="false" ht="30.75" hidden="false" customHeight="false" outlineLevel="0" collapsed="false">
      <c r="A173" s="399" t="s">
        <v>342</v>
      </c>
      <c r="B173" s="351" t="s">
        <v>343</v>
      </c>
      <c r="C173" s="158" t="s">
        <v>90</v>
      </c>
      <c r="D173" s="331" t="n">
        <f aca="false">SUM(G173)</f>
        <v>0</v>
      </c>
      <c r="E173" s="415"/>
      <c r="F173" s="185"/>
      <c r="G173" s="416"/>
      <c r="H173" s="331" t="n">
        <f aca="false">SUM(K173)</f>
        <v>0</v>
      </c>
      <c r="I173" s="415"/>
      <c r="J173" s="185"/>
      <c r="K173" s="416"/>
      <c r="L173" s="331" t="n">
        <f aca="false">SUM(O173)</f>
        <v>0</v>
      </c>
      <c r="M173" s="415"/>
      <c r="N173" s="185"/>
      <c r="O173" s="416"/>
      <c r="P173" s="331" t="n">
        <f aca="false">SUM(S173)</f>
        <v>0</v>
      </c>
      <c r="Q173" s="415"/>
      <c r="R173" s="185"/>
      <c r="S173" s="416"/>
      <c r="T173" s="331" t="n">
        <f aca="false">SUM(W173)</f>
        <v>0</v>
      </c>
      <c r="U173" s="415"/>
      <c r="V173" s="185"/>
      <c r="W173" s="416"/>
      <c r="X173" s="331" t="n">
        <f aca="false">SUM(AA173)</f>
        <v>0</v>
      </c>
      <c r="Y173" s="415"/>
      <c r="Z173" s="185"/>
      <c r="AA173" s="416"/>
      <c r="AB173" s="397" t="n">
        <f aca="false">IFERROR(X173/P173,0)</f>
        <v>0</v>
      </c>
      <c r="AC173" s="417"/>
    </row>
    <row r="174" customFormat="false" ht="30.75" hidden="false" customHeight="false" outlineLevel="0" collapsed="false">
      <c r="A174" s="418" t="s">
        <v>344</v>
      </c>
      <c r="B174" s="419" t="s">
        <v>345</v>
      </c>
      <c r="C174" s="420" t="s">
        <v>90</v>
      </c>
      <c r="D174" s="421" t="n">
        <f aca="false">SUM(E174:G174)</f>
        <v>85091.0119586217</v>
      </c>
      <c r="E174" s="422" t="n">
        <f aca="false">(-E155+E156+E157+E158+E159-E160)*1.058*1.072</f>
        <v>85091.0119586217</v>
      </c>
      <c r="F174" s="423" t="n">
        <f aca="false">(F162+F163+F164+F165+F166)*1.1</f>
        <v>0</v>
      </c>
      <c r="G174" s="424" t="n">
        <f aca="false">(G171-G172-G173)*1*1</f>
        <v>0</v>
      </c>
      <c r="H174" s="421" t="n">
        <f aca="false">SUM(I174:K174)</f>
        <v>0</v>
      </c>
      <c r="I174" s="422" t="n">
        <f aca="false">(-I155+I156+I157+I158+I159-I160)*1*1</f>
        <v>0</v>
      </c>
      <c r="J174" s="423" t="n">
        <f aca="false">(J162+J163+J164+J165+J166)*1.1</f>
        <v>0</v>
      </c>
      <c r="K174" s="424" t="n">
        <f aca="false">(K171-K172-K173)*1*1</f>
        <v>0</v>
      </c>
      <c r="L174" s="421" t="n">
        <f aca="false">SUM(M174:O174)</f>
        <v>0</v>
      </c>
      <c r="M174" s="422" t="n">
        <f aca="false">(-M155+M156+M157+M158+M159-M160)*1*1</f>
        <v>0</v>
      </c>
      <c r="N174" s="423" t="n">
        <f aca="false">(N162+N163+N164+N165+N166)*1.1</f>
        <v>0</v>
      </c>
      <c r="O174" s="424" t="n">
        <f aca="false">(O171-O172-O173)*1*1</f>
        <v>0</v>
      </c>
      <c r="P174" s="421" t="n">
        <f aca="false">SUM(Q174:S174)</f>
        <v>9079.51750015947</v>
      </c>
      <c r="Q174" s="422" t="n">
        <f aca="false">(-Q155+Q156+Q157+Q158+Q159-Q160)*1.08*1.058</f>
        <v>9079.51750015947</v>
      </c>
      <c r="R174" s="423" t="n">
        <f aca="false">(R162+R163+R164+R165+R166)*1.1</f>
        <v>0</v>
      </c>
      <c r="S174" s="424" t="n">
        <f aca="false">(S171-S172-S173)*1*1</f>
        <v>0</v>
      </c>
      <c r="T174" s="421" t="n">
        <f aca="false">SUM(U174:W174)</f>
        <v>730695.724872878</v>
      </c>
      <c r="U174" s="422" t="n">
        <v>730695.724872878</v>
      </c>
      <c r="V174" s="423" t="n">
        <v>0</v>
      </c>
      <c r="W174" s="424" t="n">
        <v>0</v>
      </c>
      <c r="X174" s="421" t="n">
        <f aca="false">SUM(Y174:AA174)</f>
        <v>0</v>
      </c>
      <c r="Y174" s="422" t="n">
        <v>0</v>
      </c>
      <c r="Z174" s="423" t="n">
        <v>0</v>
      </c>
      <c r="AA174" s="424" t="n">
        <v>0</v>
      </c>
      <c r="AB174" s="425" t="n">
        <f aca="false">IFERROR(X174/P174,0)</f>
        <v>0</v>
      </c>
      <c r="AC174" s="426"/>
      <c r="AE174" s="268"/>
    </row>
    <row r="175" customFormat="false" ht="17.25" hidden="false" customHeight="false" outlineLevel="0" collapsed="false">
      <c r="A175" s="427" t="s">
        <v>346</v>
      </c>
      <c r="B175" s="428" t="s">
        <v>347</v>
      </c>
      <c r="C175" s="429" t="s">
        <v>90</v>
      </c>
      <c r="D175" s="430" t="n">
        <f aca="false">D82+D83+D117+D151+D152+D174</f>
        <v>2034487.19176251</v>
      </c>
      <c r="E175" s="431" t="n">
        <f aca="false">E82+E83+E117+E151+E152+E174</f>
        <v>2034487.19176251</v>
      </c>
      <c r="F175" s="432" t="n">
        <f aca="false">F82+F117+F151+F152+F174</f>
        <v>0</v>
      </c>
      <c r="G175" s="433" t="n">
        <f aca="false">G82+G117+G151+G152+G174</f>
        <v>0</v>
      </c>
      <c r="H175" s="430" t="n">
        <f aca="false">H82+H83+H117+H151+H152+H174</f>
        <v>2528967.70798345</v>
      </c>
      <c r="I175" s="431" t="n">
        <f aca="false">I82+I83+I117+I151+I152+I174</f>
        <v>2528967.70798345</v>
      </c>
      <c r="J175" s="432" t="n">
        <f aca="false">J82+J117+J151+J152+J174</f>
        <v>0</v>
      </c>
      <c r="K175" s="433" t="n">
        <f aca="false">K82+K117+K151+K152+K174</f>
        <v>0</v>
      </c>
      <c r="L175" s="430" t="n">
        <f aca="false">L82+L83+L117+L151+L152+L174</f>
        <v>0</v>
      </c>
      <c r="M175" s="431" t="n">
        <f aca="false">M82+M83+M117+M151+M152+M174</f>
        <v>0</v>
      </c>
      <c r="N175" s="432" t="n">
        <f aca="false">N82+N117+N151+N152+N174</f>
        <v>0</v>
      </c>
      <c r="O175" s="433" t="n">
        <f aca="false">O82+O117+O151+O152+O174</f>
        <v>0</v>
      </c>
      <c r="P175" s="430" t="n">
        <f aca="false">P82+P83+P117+P151+P152+P174</f>
        <v>1990198.82011059</v>
      </c>
      <c r="Q175" s="431" t="n">
        <f aca="false">Q82+Q83+Q117+Q151+Q152+Q174</f>
        <v>1990198.82011059</v>
      </c>
      <c r="R175" s="432" t="n">
        <f aca="false">R82+R117+R151+R152+R174</f>
        <v>0</v>
      </c>
      <c r="S175" s="433" t="n">
        <f aca="false">S82+S117+S151+S152+S174</f>
        <v>0</v>
      </c>
      <c r="T175" s="430" t="n">
        <f aca="false">T82+T83+T117+T151+T152+T174</f>
        <v>3527506.68985698</v>
      </c>
      <c r="U175" s="431" t="n">
        <f aca="false">U82+U83+U117+U151+U152+U174</f>
        <v>3527506.68985698</v>
      </c>
      <c r="V175" s="432" t="n">
        <f aca="false">V82+V117+V151+V152+V174</f>
        <v>0</v>
      </c>
      <c r="W175" s="433" t="n">
        <f aca="false">W82+W117+W151+W152+W174</f>
        <v>0</v>
      </c>
      <c r="X175" s="430" t="n">
        <f aca="false">X82+X83+X117+X151+X152+X174</f>
        <v>1004916.86620065</v>
      </c>
      <c r="Y175" s="431" t="n">
        <f aca="false">Y82+Y83+Y117+Y151+Y152+Y174</f>
        <v>1004916.86620065</v>
      </c>
      <c r="Z175" s="432" t="n">
        <f aca="false">Z82+Z117+Z151+Z152+Z174</f>
        <v>0</v>
      </c>
      <c r="AA175" s="433" t="n">
        <f aca="false">AA82+AA117+AA151+AA152+AA174</f>
        <v>0</v>
      </c>
      <c r="AB175" s="434" t="n">
        <f aca="false">IFERROR(X175/P175,0)</f>
        <v>0.504932902203614</v>
      </c>
      <c r="AC175" s="435"/>
      <c r="AE175" s="268"/>
      <c r="AF175" s="436"/>
    </row>
    <row r="176" customFormat="false" ht="16.15" hidden="false" customHeight="false" outlineLevel="0" collapsed="false">
      <c r="A176" s="437" t="s">
        <v>348</v>
      </c>
      <c r="B176" s="438" t="s">
        <v>349</v>
      </c>
      <c r="C176" s="439"/>
      <c r="D176" s="440" t="n">
        <f aca="false">D175/D25</f>
        <v>12.3133978405058</v>
      </c>
      <c r="E176" s="441"/>
      <c r="F176" s="442"/>
      <c r="G176" s="443"/>
      <c r="H176" s="440" t="n">
        <f aca="false">H175/H25</f>
        <v>15.9423210427403</v>
      </c>
      <c r="I176" s="441"/>
      <c r="J176" s="442"/>
      <c r="K176" s="444"/>
      <c r="L176" s="440"/>
      <c r="M176" s="441"/>
      <c r="N176" s="442"/>
      <c r="O176" s="444"/>
      <c r="P176" s="440" t="n">
        <f aca="false">P175/P25</f>
        <v>12.6770231215394</v>
      </c>
      <c r="Q176" s="445"/>
      <c r="R176" s="446"/>
      <c r="S176" s="447"/>
      <c r="T176" s="440" t="n">
        <f aca="false">T175/T25</f>
        <v>22.2365931444047</v>
      </c>
      <c r="U176" s="448"/>
      <c r="V176" s="441" t="n">
        <f aca="false">(V175+U176*V22)/V25</f>
        <v>0</v>
      </c>
      <c r="W176" s="441" t="n">
        <f aca="false">W175/W25</f>
        <v>0</v>
      </c>
      <c r="X176" s="440" t="e">
        <f aca="false">SUM(Y176:AA176)</f>
        <v>#DIV/0!</v>
      </c>
      <c r="Y176" s="441" t="e">
        <f aca="false">Y175/Y20</f>
        <v>#DIV/0!</v>
      </c>
      <c r="Z176" s="441" t="e">
        <f aca="false">(Z175+Y176*Z22)/Z25</f>
        <v>#DIV/0!</v>
      </c>
      <c r="AA176" s="441" t="e">
        <f aca="false">AA175/AA25</f>
        <v>#DIV/0!</v>
      </c>
      <c r="AB176" s="449"/>
      <c r="AC176" s="450"/>
    </row>
    <row r="177" customFormat="false" ht="16.15" hidden="false" customHeight="false" outlineLevel="0" collapsed="false">
      <c r="A177" s="437"/>
      <c r="B177" s="451" t="s">
        <v>350</v>
      </c>
      <c r="C177" s="439" t="s">
        <v>351</v>
      </c>
      <c r="D177" s="440"/>
      <c r="E177" s="441"/>
      <c r="F177" s="442"/>
      <c r="G177" s="443"/>
      <c r="H177" s="440"/>
      <c r="I177" s="441"/>
      <c r="J177" s="442"/>
      <c r="K177" s="443"/>
      <c r="L177" s="440"/>
      <c r="M177" s="441"/>
      <c r="N177" s="442"/>
      <c r="O177" s="443"/>
      <c r="P177" s="452" t="n">
        <f aca="false">Q177+R177+S177</f>
        <v>0</v>
      </c>
      <c r="Q177" s="453"/>
      <c r="R177" s="446" t="n">
        <f aca="false">R178+R179</f>
        <v>0</v>
      </c>
      <c r="S177" s="454"/>
      <c r="T177" s="440" t="n">
        <f aca="false">T175/T25</f>
        <v>22.2365931444047</v>
      </c>
      <c r="U177" s="440"/>
      <c r="V177" s="441" t="n">
        <f aca="false">V178+V179</f>
        <v>0</v>
      </c>
      <c r="W177" s="441" t="n">
        <f aca="false">IFERROR(MIN(S180,W175/W25),0)</f>
        <v>0</v>
      </c>
      <c r="X177" s="440" t="n">
        <f aca="false">SUM(Y177:AA177)</f>
        <v>0</v>
      </c>
      <c r="Y177" s="441" t="n">
        <f aca="false">IFERROR(MIN(Q180,Y175/Y20),0)</f>
        <v>0</v>
      </c>
      <c r="Z177" s="441" t="n">
        <f aca="false">Z178+Z179</f>
        <v>0</v>
      </c>
      <c r="AA177" s="441" t="n">
        <f aca="false">IFERROR(MIN(S180,AA175/AA25),0)</f>
        <v>0</v>
      </c>
      <c r="AB177" s="449" t="e">
        <f aca="false">X177/P177</f>
        <v>#DIV/0!</v>
      </c>
      <c r="AC177" s="450"/>
    </row>
    <row r="178" customFormat="false" ht="17.25" hidden="false" customHeight="false" outlineLevel="0" collapsed="false">
      <c r="A178" s="437"/>
      <c r="B178" s="455" t="s">
        <v>352</v>
      </c>
      <c r="C178" s="439"/>
      <c r="D178" s="440"/>
      <c r="E178" s="441"/>
      <c r="F178" s="442"/>
      <c r="G178" s="443"/>
      <c r="H178" s="440"/>
      <c r="I178" s="441"/>
      <c r="J178" s="442"/>
      <c r="K178" s="443"/>
      <c r="L178" s="440"/>
      <c r="M178" s="441"/>
      <c r="N178" s="442"/>
      <c r="O178" s="443"/>
      <c r="P178" s="452"/>
      <c r="Q178" s="445"/>
      <c r="R178" s="456"/>
      <c r="S178" s="447"/>
      <c r="T178" s="440"/>
      <c r="U178" s="441"/>
      <c r="V178" s="457" t="n">
        <f aca="false">IFERROR(MIN(R181,V175/V25),0)</f>
        <v>0</v>
      </c>
      <c r="W178" s="458"/>
      <c r="X178" s="440"/>
      <c r="Y178" s="441"/>
      <c r="Z178" s="457" t="n">
        <f aca="false">IFERROR(MIN(R181,Z175/Z25),0)</f>
        <v>0</v>
      </c>
      <c r="AA178" s="458"/>
      <c r="AB178" s="449"/>
      <c r="AC178" s="450"/>
    </row>
    <row r="179" customFormat="false" ht="17.25" hidden="false" customHeight="false" outlineLevel="0" collapsed="false">
      <c r="A179" s="437"/>
      <c r="B179" s="455" t="s">
        <v>353</v>
      </c>
      <c r="C179" s="439"/>
      <c r="D179" s="440"/>
      <c r="E179" s="441"/>
      <c r="F179" s="442"/>
      <c r="G179" s="443"/>
      <c r="H179" s="440"/>
      <c r="I179" s="441"/>
      <c r="J179" s="442"/>
      <c r="K179" s="443"/>
      <c r="L179" s="440"/>
      <c r="M179" s="441"/>
      <c r="N179" s="442"/>
      <c r="O179" s="443"/>
      <c r="P179" s="452"/>
      <c r="Q179" s="445"/>
      <c r="R179" s="456"/>
      <c r="S179" s="447"/>
      <c r="T179" s="440"/>
      <c r="U179" s="441"/>
      <c r="V179" s="457" t="n">
        <f aca="false">IFERROR(MIN(R182,U177*E192/E193),0)</f>
        <v>0</v>
      </c>
      <c r="W179" s="458"/>
      <c r="X179" s="440"/>
      <c r="Y179" s="441"/>
      <c r="Z179" s="457" t="n">
        <f aca="false">IFERROR(MIN(R182,Y177*E202/E203),0)</f>
        <v>0</v>
      </c>
      <c r="AA179" s="458"/>
      <c r="AB179" s="449"/>
      <c r="AC179" s="450"/>
    </row>
    <row r="180" customFormat="false" ht="17.25" hidden="false" customHeight="false" outlineLevel="0" collapsed="false">
      <c r="A180" s="459"/>
      <c r="B180" s="460" t="s">
        <v>354</v>
      </c>
      <c r="C180" s="461" t="s">
        <v>351</v>
      </c>
      <c r="D180" s="462"/>
      <c r="E180" s="463"/>
      <c r="F180" s="464"/>
      <c r="G180" s="465"/>
      <c r="H180" s="462"/>
      <c r="I180" s="463"/>
      <c r="J180" s="464"/>
      <c r="K180" s="465"/>
      <c r="L180" s="462"/>
      <c r="M180" s="463"/>
      <c r="N180" s="464"/>
      <c r="O180" s="465"/>
      <c r="P180" s="452" t="n">
        <f aca="false">Q180+R180+S180</f>
        <v>0</v>
      </c>
      <c r="Q180" s="466"/>
      <c r="R180" s="446" t="n">
        <f aca="false">R181+R182</f>
        <v>0</v>
      </c>
      <c r="S180" s="467"/>
      <c r="T180" s="462" t="n">
        <f aca="false">T177</f>
        <v>22.2365931444047</v>
      </c>
      <c r="U180" s="463" t="n">
        <f aca="false">IFERROR((U175-U177*E190)/F190,0)</f>
        <v>0</v>
      </c>
      <c r="V180" s="463" t="n">
        <f aca="false">V181+V182</f>
        <v>0</v>
      </c>
      <c r="W180" s="468" t="n">
        <f aca="false">IFERROR((W175-W177*E193)/F193,0)</f>
        <v>0</v>
      </c>
      <c r="X180" s="462" t="n">
        <f aca="false">SUM(Y180:AA180)</f>
        <v>0</v>
      </c>
      <c r="Y180" s="463" t="n">
        <f aca="false">IFERROR((Y175-Y177*E200)/F200,0)</f>
        <v>0</v>
      </c>
      <c r="Z180" s="463" t="n">
        <f aca="false">Z181+Z182</f>
        <v>0</v>
      </c>
      <c r="AA180" s="468" t="n">
        <f aca="false">IFERROR((AA175-AA177*E203)/F203,0)</f>
        <v>0</v>
      </c>
      <c r="AB180" s="449" t="e">
        <f aca="false">X180/P180</f>
        <v>#DIV/0!</v>
      </c>
      <c r="AC180" s="469"/>
    </row>
    <row r="181" customFormat="false" ht="17.25" hidden="false" customHeight="false" outlineLevel="0" collapsed="false">
      <c r="A181" s="437"/>
      <c r="B181" s="455" t="s">
        <v>352</v>
      </c>
      <c r="C181" s="470"/>
      <c r="D181" s="440"/>
      <c r="E181" s="441"/>
      <c r="F181" s="442"/>
      <c r="G181" s="443"/>
      <c r="H181" s="440"/>
      <c r="I181" s="441"/>
      <c r="J181" s="442"/>
      <c r="K181" s="443"/>
      <c r="L181" s="440"/>
      <c r="M181" s="441"/>
      <c r="N181" s="442"/>
      <c r="O181" s="443"/>
      <c r="P181" s="452"/>
      <c r="Q181" s="445"/>
      <c r="R181" s="456"/>
      <c r="S181" s="447"/>
      <c r="T181" s="440"/>
      <c r="U181" s="441"/>
      <c r="V181" s="471" t="n">
        <f aca="false">IFERROR(((V175-V178*E193)/F193),0)</f>
        <v>0</v>
      </c>
      <c r="W181" s="443"/>
      <c r="X181" s="440"/>
      <c r="Y181" s="441"/>
      <c r="Z181" s="471" t="n">
        <f aca="false">IFERROR(((Z175-Z178*E203)/F203),0)</f>
        <v>0</v>
      </c>
      <c r="AA181" s="443"/>
      <c r="AB181" s="449"/>
      <c r="AC181" s="450"/>
    </row>
    <row r="182" customFormat="false" ht="17.25" hidden="false" customHeight="false" outlineLevel="0" collapsed="false">
      <c r="A182" s="472"/>
      <c r="B182" s="455" t="s">
        <v>353</v>
      </c>
      <c r="C182" s="473"/>
      <c r="D182" s="474"/>
      <c r="E182" s="475"/>
      <c r="F182" s="476"/>
      <c r="G182" s="477"/>
      <c r="H182" s="474"/>
      <c r="I182" s="475"/>
      <c r="J182" s="476"/>
      <c r="K182" s="477"/>
      <c r="L182" s="474"/>
      <c r="M182" s="475"/>
      <c r="N182" s="476"/>
      <c r="O182" s="477"/>
      <c r="P182" s="478"/>
      <c r="Q182" s="479"/>
      <c r="R182" s="480"/>
      <c r="S182" s="481"/>
      <c r="T182" s="474"/>
      <c r="U182" s="475"/>
      <c r="V182" s="482" t="n">
        <f aca="false">IFERROR(((U175/D193-U176)*D193-(V179*E193))/F193,0)</f>
        <v>0</v>
      </c>
      <c r="W182" s="477"/>
      <c r="X182" s="474"/>
      <c r="Y182" s="475"/>
      <c r="Z182" s="482" t="n">
        <f aca="false">IFERROR(((Y175/D203-Y176)*D203-(Z179*E203))/F203,0)</f>
        <v>0</v>
      </c>
      <c r="AA182" s="477"/>
      <c r="AB182" s="483"/>
      <c r="AC182" s="484"/>
    </row>
    <row r="183" customFormat="false" ht="24.75" hidden="false" customHeight="true" outlineLevel="0" collapsed="false">
      <c r="E183" s="485" t="n">
        <v>2034487.19176251</v>
      </c>
      <c r="I183" s="485" t="n">
        <v>2528967.70798345</v>
      </c>
      <c r="Q183" s="485" t="n">
        <v>1990198.82011059</v>
      </c>
      <c r="T183" s="486"/>
    </row>
    <row r="184" customFormat="false" ht="15" hidden="false" customHeight="false" outlineLevel="0" collapsed="false">
      <c r="E184" s="487" t="n">
        <f aca="false">E175-E183</f>
        <v>0</v>
      </c>
      <c r="I184" s="488" t="n">
        <f aca="false">I175-I183</f>
        <v>0</v>
      </c>
      <c r="Q184" s="488" t="n">
        <f aca="false">Q175-Q183</f>
        <v>0</v>
      </c>
    </row>
    <row r="185" customFormat="false" ht="15" hidden="false" customHeight="true" outlineLevel="0" collapsed="false">
      <c r="B185" s="489" t="s">
        <v>355</v>
      </c>
      <c r="C185" s="489"/>
    </row>
    <row r="186" customFormat="false" ht="15" hidden="false" customHeight="true" outlineLevel="0" collapsed="false">
      <c r="B186" s="490"/>
      <c r="C186" s="491" t="s">
        <v>5</v>
      </c>
      <c r="D186" s="492" t="s">
        <v>356</v>
      </c>
      <c r="E186" s="492"/>
      <c r="F186" s="492"/>
      <c r="G186" s="3" t="s">
        <v>357</v>
      </c>
      <c r="Y186" s="2"/>
      <c r="Z186" s="2"/>
      <c r="AA186" s="2"/>
    </row>
    <row r="187" customFormat="false" ht="15" hidden="false" customHeight="false" outlineLevel="0" collapsed="false">
      <c r="B187" s="490"/>
      <c r="C187" s="491"/>
      <c r="D187" s="490" t="s">
        <v>358</v>
      </c>
      <c r="E187" s="493" t="s">
        <v>350</v>
      </c>
      <c r="F187" s="493" t="s">
        <v>354</v>
      </c>
      <c r="T187" s="486"/>
      <c r="Y187" s="2"/>
      <c r="Z187" s="2"/>
      <c r="AA187" s="2"/>
    </row>
    <row r="188" customFormat="false" ht="15" hidden="false" customHeight="false" outlineLevel="0" collapsed="false">
      <c r="B188" s="494" t="s">
        <v>42</v>
      </c>
      <c r="C188" s="495" t="s">
        <v>43</v>
      </c>
      <c r="D188" s="496" t="n">
        <f aca="false">SUM(E188:F188)</f>
        <v>0</v>
      </c>
      <c r="E188" s="497" t="n">
        <f aca="false">E189+E190-E191</f>
        <v>0</v>
      </c>
      <c r="F188" s="497" t="n">
        <f aca="false">F189+F190-F191</f>
        <v>0</v>
      </c>
      <c r="G188" s="3" t="n">
        <f aca="false">D188=T17</f>
        <v>0</v>
      </c>
      <c r="Y188" s="2"/>
      <c r="Z188" s="2"/>
      <c r="AA188" s="2"/>
    </row>
    <row r="189" customFormat="false" ht="15" hidden="false" customHeight="false" outlineLevel="0" collapsed="false">
      <c r="B189" s="494" t="s">
        <v>45</v>
      </c>
      <c r="C189" s="495" t="s">
        <v>43</v>
      </c>
      <c r="D189" s="496" t="n">
        <f aca="false">SUM(E189:F189)</f>
        <v>0</v>
      </c>
      <c r="E189" s="498"/>
      <c r="F189" s="498"/>
      <c r="G189" s="3" t="n">
        <f aca="false">D189=T18</f>
        <v>0</v>
      </c>
      <c r="Y189" s="2"/>
      <c r="Z189" s="2"/>
      <c r="AA189" s="2"/>
    </row>
    <row r="190" customFormat="false" ht="15" hidden="false" customHeight="false" outlineLevel="0" collapsed="false">
      <c r="B190" s="494" t="s">
        <v>48</v>
      </c>
      <c r="C190" s="495" t="s">
        <v>43</v>
      </c>
      <c r="D190" s="496" t="n">
        <f aca="false">SUM(E190:F190)</f>
        <v>0</v>
      </c>
      <c r="E190" s="497" t="n">
        <f aca="false">E192+E193</f>
        <v>0</v>
      </c>
      <c r="F190" s="497" t="n">
        <f aca="false">F192+F193</f>
        <v>0</v>
      </c>
      <c r="G190" s="3" t="n">
        <f aca="false">D190=T20</f>
        <v>0</v>
      </c>
      <c r="Y190" s="2"/>
      <c r="Z190" s="2"/>
      <c r="AA190" s="2"/>
    </row>
    <row r="191" customFormat="false" ht="15" hidden="false" customHeight="false" outlineLevel="0" collapsed="false">
      <c r="B191" s="494" t="s">
        <v>50</v>
      </c>
      <c r="C191" s="495" t="s">
        <v>43</v>
      </c>
      <c r="D191" s="496" t="n">
        <f aca="false">SUM(E191:F191)</f>
        <v>0</v>
      </c>
      <c r="E191" s="498"/>
      <c r="F191" s="498"/>
      <c r="G191" s="3" t="n">
        <f aca="false">D191=T21</f>
        <v>1</v>
      </c>
      <c r="Y191" s="2"/>
      <c r="Z191" s="2"/>
      <c r="AA191" s="2"/>
    </row>
    <row r="192" customFormat="false" ht="15" hidden="false" customHeight="false" outlineLevel="0" collapsed="false">
      <c r="B192" s="494" t="s">
        <v>52</v>
      </c>
      <c r="C192" s="495" t="s">
        <v>43</v>
      </c>
      <c r="D192" s="496" t="n">
        <f aca="false">SUM(E192:F192)</f>
        <v>0</v>
      </c>
      <c r="E192" s="498"/>
      <c r="F192" s="498"/>
      <c r="G192" s="3" t="n">
        <f aca="false">D192=T22</f>
        <v>0</v>
      </c>
      <c r="Y192" s="2"/>
      <c r="Z192" s="2"/>
      <c r="AA192" s="2"/>
    </row>
    <row r="193" customFormat="false" ht="15" hidden="false" customHeight="false" outlineLevel="0" collapsed="false">
      <c r="B193" s="499" t="s">
        <v>359</v>
      </c>
      <c r="C193" s="495" t="s">
        <v>43</v>
      </c>
      <c r="D193" s="496" t="n">
        <f aca="false">SUM(E193:F193)</f>
        <v>0</v>
      </c>
      <c r="E193" s="498"/>
      <c r="F193" s="498"/>
      <c r="G193" s="3" t="n">
        <f aca="false">D193=T25</f>
        <v>0</v>
      </c>
      <c r="Y193" s="2"/>
      <c r="Z193" s="2"/>
      <c r="AA193" s="2"/>
    </row>
    <row r="195" customFormat="false" ht="15" hidden="false" customHeight="true" outlineLevel="0" collapsed="false">
      <c r="B195" s="489" t="s">
        <v>360</v>
      </c>
      <c r="C195" s="489"/>
    </row>
    <row r="196" customFormat="false" ht="15" hidden="false" customHeight="true" outlineLevel="0" collapsed="false">
      <c r="B196" s="490"/>
      <c r="C196" s="491" t="s">
        <v>5</v>
      </c>
      <c r="D196" s="492" t="s">
        <v>356</v>
      </c>
      <c r="E196" s="492"/>
      <c r="F196" s="492"/>
      <c r="Y196" s="2"/>
      <c r="Z196" s="2"/>
      <c r="AA196" s="2"/>
    </row>
    <row r="197" customFormat="false" ht="15" hidden="false" customHeight="false" outlineLevel="0" collapsed="false">
      <c r="B197" s="490"/>
      <c r="C197" s="491"/>
      <c r="D197" s="490" t="s">
        <v>358</v>
      </c>
      <c r="E197" s="493" t="s">
        <v>350</v>
      </c>
      <c r="F197" s="493" t="s">
        <v>354</v>
      </c>
      <c r="Y197" s="2"/>
      <c r="Z197" s="2"/>
      <c r="AA197" s="2"/>
    </row>
    <row r="198" customFormat="false" ht="15" hidden="false" customHeight="false" outlineLevel="0" collapsed="false">
      <c r="B198" s="494" t="s">
        <v>42</v>
      </c>
      <c r="C198" s="495" t="s">
        <v>43</v>
      </c>
      <c r="D198" s="496" t="n">
        <f aca="false">SUM(E198:F198)</f>
        <v>0</v>
      </c>
      <c r="E198" s="497" t="n">
        <f aca="false">E199+E200-E201</f>
        <v>0</v>
      </c>
      <c r="F198" s="497" t="n">
        <f aca="false">F199+F200-F201</f>
        <v>0</v>
      </c>
      <c r="G198" s="3" t="n">
        <f aca="false">D198=X17</f>
        <v>1</v>
      </c>
      <c r="Y198" s="2"/>
      <c r="Z198" s="2"/>
      <c r="AA198" s="2"/>
    </row>
    <row r="199" customFormat="false" ht="15" hidden="false" customHeight="false" outlineLevel="0" collapsed="false">
      <c r="B199" s="494" t="s">
        <v>45</v>
      </c>
      <c r="C199" s="495" t="s">
        <v>43</v>
      </c>
      <c r="D199" s="496" t="n">
        <f aca="false">SUM(E199:F199)</f>
        <v>0</v>
      </c>
      <c r="E199" s="498"/>
      <c r="F199" s="498"/>
      <c r="G199" s="3" t="n">
        <f aca="false">D199=X18</f>
        <v>1</v>
      </c>
      <c r="Y199" s="2"/>
      <c r="Z199" s="2"/>
      <c r="AA199" s="2"/>
    </row>
    <row r="200" customFormat="false" ht="15" hidden="false" customHeight="false" outlineLevel="0" collapsed="false">
      <c r="B200" s="494" t="s">
        <v>48</v>
      </c>
      <c r="C200" s="495" t="s">
        <v>43</v>
      </c>
      <c r="D200" s="496" t="n">
        <f aca="false">SUM(E200:F200)</f>
        <v>0</v>
      </c>
      <c r="E200" s="497" t="n">
        <f aca="false">E202+E203</f>
        <v>0</v>
      </c>
      <c r="F200" s="497" t="n">
        <f aca="false">F202+F203</f>
        <v>0</v>
      </c>
      <c r="G200" s="3" t="n">
        <f aca="false">D200=X20</f>
        <v>1</v>
      </c>
      <c r="Y200" s="2"/>
      <c r="Z200" s="2"/>
      <c r="AA200" s="2"/>
    </row>
    <row r="201" customFormat="false" ht="15" hidden="false" customHeight="false" outlineLevel="0" collapsed="false">
      <c r="B201" s="494" t="s">
        <v>50</v>
      </c>
      <c r="C201" s="495" t="s">
        <v>43</v>
      </c>
      <c r="D201" s="496" t="n">
        <f aca="false">SUM(E201:F201)</f>
        <v>0</v>
      </c>
      <c r="E201" s="498"/>
      <c r="F201" s="498"/>
      <c r="G201" s="3" t="n">
        <f aca="false">D201=X21</f>
        <v>1</v>
      </c>
      <c r="Y201" s="2"/>
      <c r="Z201" s="2"/>
      <c r="AA201" s="2"/>
    </row>
    <row r="202" customFormat="false" ht="15" hidden="false" customHeight="false" outlineLevel="0" collapsed="false">
      <c r="B202" s="494" t="s">
        <v>52</v>
      </c>
      <c r="C202" s="495" t="s">
        <v>43</v>
      </c>
      <c r="D202" s="496" t="n">
        <f aca="false">SUM(E202:F202)</f>
        <v>0</v>
      </c>
      <c r="E202" s="498"/>
      <c r="F202" s="498"/>
      <c r="G202" s="3" t="n">
        <f aca="false">D202=X22</f>
        <v>1</v>
      </c>
      <c r="Y202" s="2"/>
      <c r="Z202" s="2"/>
      <c r="AA202" s="2"/>
    </row>
    <row r="203" customFormat="false" ht="15" hidden="false" customHeight="false" outlineLevel="0" collapsed="false">
      <c r="B203" s="499" t="s">
        <v>359</v>
      </c>
      <c r="C203" s="495" t="s">
        <v>43</v>
      </c>
      <c r="D203" s="496" t="n">
        <f aca="false">SUM(E203:F203)</f>
        <v>0</v>
      </c>
      <c r="E203" s="498"/>
      <c r="F203" s="498"/>
      <c r="G203" s="3" t="n">
        <f aca="false">D203=X25</f>
        <v>1</v>
      </c>
      <c r="Y203" s="2"/>
      <c r="Z203" s="2"/>
      <c r="AA203" s="2"/>
    </row>
    <row r="206" customFormat="false" ht="15" hidden="false" customHeight="false" outlineLevel="0" collapsed="false">
      <c r="A206" s="500" t="s">
        <v>361</v>
      </c>
      <c r="C206" s="2"/>
      <c r="D206" s="2"/>
      <c r="E206" s="2" t="s">
        <v>362</v>
      </c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</row>
  </sheetData>
  <mergeCells count="36">
    <mergeCell ref="A3:AC3"/>
    <mergeCell ref="A6:A8"/>
    <mergeCell ref="B6:B8"/>
    <mergeCell ref="C6:C8"/>
    <mergeCell ref="D6:G6"/>
    <mergeCell ref="H6:K6"/>
    <mergeCell ref="L6:O6"/>
    <mergeCell ref="P6:S6"/>
    <mergeCell ref="T6:W6"/>
    <mergeCell ref="X6:AA6"/>
    <mergeCell ref="AB6:AB8"/>
    <mergeCell ref="AC6:AC8"/>
    <mergeCell ref="D7:D8"/>
    <mergeCell ref="E7:G7"/>
    <mergeCell ref="H7:H8"/>
    <mergeCell ref="I7:K7"/>
    <mergeCell ref="L7:L8"/>
    <mergeCell ref="M7:O7"/>
    <mergeCell ref="P7:P8"/>
    <mergeCell ref="Q7:S7"/>
    <mergeCell ref="T7:T8"/>
    <mergeCell ref="U7:W7"/>
    <mergeCell ref="X7:X8"/>
    <mergeCell ref="Y7:AA7"/>
    <mergeCell ref="B135:B136"/>
    <mergeCell ref="B137:B138"/>
    <mergeCell ref="B139:B140"/>
    <mergeCell ref="B141:B142"/>
    <mergeCell ref="B185:C185"/>
    <mergeCell ref="B186:B187"/>
    <mergeCell ref="C186:C187"/>
    <mergeCell ref="D186:F186"/>
    <mergeCell ref="B195:C195"/>
    <mergeCell ref="B196:B197"/>
    <mergeCell ref="C196:C197"/>
    <mergeCell ref="D196:F196"/>
  </mergeCells>
  <dataValidations count="1">
    <dataValidation allowBlank="true" error="Допускается ввод только действительных чисел!" errorStyle="stop" errorTitle="Внимание" operator="between" showDropDown="false" showErrorMessage="true" showInputMessage="true" sqref="F174 J174 N174 R174" type="none">
      <formula1>0</formula1>
      <formula2>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LibreOffice/7.6.7.2$Linux_X86_64 LibreOffice_project/60$Build-2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2025-04-23T10:39:49Z</dcterms:created>
  <dc:creator/>
  <dc:description/>
  <dc:language>ru-RU</dc:language>
  <cp:lastModifiedBy/>
  <dcterms:modified xsi:type="dcterms:W3CDTF">2025-04-23T10:50:14Z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